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6305" windowHeight="8490"/>
  </bookViews>
  <sheets>
    <sheet name="EE" sheetId="3" r:id="rId1"/>
    <sheet name="ZP maloodběr" sheetId="2" r:id="rId2"/>
    <sheet name="ZP střední odběr" sheetId="7" r:id="rId3"/>
    <sheet name="VODA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3" l="1"/>
  <c r="H29" i="3"/>
  <c r="H28" i="3"/>
  <c r="H27" i="3"/>
  <c r="H26" i="3"/>
  <c r="H25" i="3"/>
  <c r="H24" i="3"/>
  <c r="H23" i="3"/>
  <c r="H22" i="3"/>
  <c r="H21" i="3"/>
  <c r="H20" i="3"/>
  <c r="H19" i="3"/>
  <c r="C50" i="3" l="1"/>
  <c r="B50" i="3"/>
  <c r="C49" i="3"/>
  <c r="B49" i="3"/>
  <c r="X48" i="2" l="1"/>
  <c r="J48" i="2"/>
  <c r="J47" i="2"/>
  <c r="K47" i="2" s="1"/>
  <c r="B47" i="2"/>
  <c r="X46" i="2"/>
  <c r="Y46" i="2" s="1"/>
  <c r="J46" i="2"/>
  <c r="K46" i="2" s="1"/>
  <c r="B46" i="2"/>
  <c r="X45" i="2"/>
  <c r="Y45" i="2" s="1"/>
  <c r="J45" i="2"/>
  <c r="K45" i="2" s="1"/>
  <c r="B45" i="2"/>
  <c r="J44" i="2"/>
  <c r="K44" i="2" s="1"/>
  <c r="B44" i="2"/>
  <c r="C44" i="2" s="1"/>
  <c r="X44" i="2"/>
  <c r="Y44" i="2" s="1"/>
  <c r="J43" i="2"/>
  <c r="K43" i="2" s="1"/>
  <c r="B43" i="2"/>
  <c r="X43" i="2"/>
  <c r="X42" i="2"/>
  <c r="Y42" i="2" s="1"/>
  <c r="J42" i="2"/>
  <c r="K42" i="2" s="1"/>
  <c r="B42" i="2"/>
  <c r="J41" i="2"/>
  <c r="K41" i="2" s="1"/>
  <c r="D41" i="2"/>
  <c r="E41" i="2" s="1"/>
  <c r="B41" i="2"/>
  <c r="X41" i="2"/>
  <c r="Y41" i="2" s="1"/>
  <c r="X40" i="2"/>
  <c r="Y40" i="2" s="1"/>
  <c r="B40" i="2"/>
  <c r="C40" i="2" s="1"/>
  <c r="J40" i="2"/>
  <c r="K40" i="2" s="1"/>
  <c r="X39" i="2"/>
  <c r="J39" i="2"/>
  <c r="B39" i="2"/>
  <c r="C39" i="2" s="1"/>
  <c r="E39" i="2" s="1"/>
  <c r="X31" i="2"/>
  <c r="U36" i="2"/>
  <c r="B30" i="2"/>
  <c r="C30" i="2" s="1"/>
  <c r="J30" i="2"/>
  <c r="X30" i="2"/>
  <c r="X29" i="2"/>
  <c r="Y29" i="2" s="1"/>
  <c r="J29" i="2"/>
  <c r="K29" i="2" s="1"/>
  <c r="B29" i="2"/>
  <c r="X28" i="2"/>
  <c r="J28" i="2"/>
  <c r="K28" i="2" s="1"/>
  <c r="B28" i="2"/>
  <c r="X27" i="2"/>
  <c r="J27" i="2"/>
  <c r="B27" i="2"/>
  <c r="X26" i="2"/>
  <c r="Y26" i="2" s="1"/>
  <c r="J26" i="2"/>
  <c r="B26" i="2"/>
  <c r="X25" i="2"/>
  <c r="Y25" i="2" s="1"/>
  <c r="J25" i="2"/>
  <c r="K25" i="2" s="1"/>
  <c r="B25" i="2"/>
  <c r="B24" i="2"/>
  <c r="C24" i="2" s="1"/>
  <c r="B23" i="2"/>
  <c r="C23" i="2" s="1"/>
  <c r="D24" i="2" s="1"/>
  <c r="E24" i="2" s="1"/>
  <c r="J24" i="2"/>
  <c r="K24" i="2" s="1"/>
  <c r="J23" i="2"/>
  <c r="X24" i="2"/>
  <c r="Y24" i="2" s="1"/>
  <c r="X23" i="2"/>
  <c r="X22" i="2"/>
  <c r="Y22" i="2" s="1"/>
  <c r="AA22" i="2" s="1"/>
  <c r="J22" i="2"/>
  <c r="B22" i="2"/>
  <c r="C22" i="2" s="1"/>
  <c r="E22" i="2" s="1"/>
  <c r="J21" i="2"/>
  <c r="B21" i="2"/>
  <c r="C21" i="2" s="1"/>
  <c r="X21" i="2"/>
  <c r="Y21" i="2" s="1"/>
  <c r="F36" i="2"/>
  <c r="B37" i="2" s="1"/>
  <c r="B49" i="2" s="1"/>
  <c r="N36" i="2"/>
  <c r="J37" i="2" s="1"/>
  <c r="AB36" i="2"/>
  <c r="X37" i="2" s="1"/>
  <c r="AB19" i="2"/>
  <c r="X20" i="2" s="1"/>
  <c r="X32" i="2" s="1"/>
  <c r="U19" i="2"/>
  <c r="Q20" i="2" s="1"/>
  <c r="N19" i="2"/>
  <c r="J20" i="2" s="1"/>
  <c r="F19" i="2"/>
  <c r="B20" i="2" s="1"/>
  <c r="AA48" i="2"/>
  <c r="Y48" i="2"/>
  <c r="T48" i="2"/>
  <c r="Q48" i="2"/>
  <c r="R48" i="2" s="1"/>
  <c r="M48" i="2"/>
  <c r="K48" i="2"/>
  <c r="E48" i="2"/>
  <c r="C48" i="2"/>
  <c r="AA47" i="2"/>
  <c r="Y47" i="2"/>
  <c r="T47" i="2"/>
  <c r="Q47" i="2"/>
  <c r="R47" i="2" s="1"/>
  <c r="M47" i="2"/>
  <c r="E47" i="2"/>
  <c r="AA46" i="2"/>
  <c r="T46" i="2"/>
  <c r="Q46" i="2"/>
  <c r="R46" i="2" s="1"/>
  <c r="M46" i="2"/>
  <c r="E46" i="2"/>
  <c r="C46" i="2"/>
  <c r="AA45" i="2"/>
  <c r="T45" i="2"/>
  <c r="Q45" i="2"/>
  <c r="R45" i="2" s="1"/>
  <c r="M45" i="2"/>
  <c r="E45" i="2"/>
  <c r="C45" i="2"/>
  <c r="AA44" i="2"/>
  <c r="T44" i="2"/>
  <c r="Q44" i="2"/>
  <c r="R44" i="2" s="1"/>
  <c r="M44" i="2"/>
  <c r="E44" i="2"/>
  <c r="AA43" i="2"/>
  <c r="Y43" i="2"/>
  <c r="T43" i="2"/>
  <c r="Q43" i="2"/>
  <c r="R43" i="2" s="1"/>
  <c r="M43" i="2"/>
  <c r="E43" i="2"/>
  <c r="C43" i="2"/>
  <c r="AA42" i="2"/>
  <c r="T42" i="2"/>
  <c r="Q42" i="2"/>
  <c r="R42" i="2" s="1"/>
  <c r="M42" i="2"/>
  <c r="E42" i="2"/>
  <c r="C42" i="2"/>
  <c r="AA41" i="2"/>
  <c r="T41" i="2"/>
  <c r="Q41" i="2"/>
  <c r="R41" i="2" s="1"/>
  <c r="M41" i="2"/>
  <c r="C41" i="2"/>
  <c r="AA40" i="2"/>
  <c r="Q40" i="2"/>
  <c r="R40" i="2" s="1"/>
  <c r="T40" i="2" s="1"/>
  <c r="M40" i="2"/>
  <c r="E40" i="2"/>
  <c r="Y39" i="2"/>
  <c r="AA39" i="2" s="1"/>
  <c r="Q39" i="2"/>
  <c r="R39" i="2" s="1"/>
  <c r="T39" i="2" s="1"/>
  <c r="K39" i="2"/>
  <c r="M39" i="2" s="1"/>
  <c r="X38" i="2"/>
  <c r="Y38" i="2" s="1"/>
  <c r="AA38" i="2" s="1"/>
  <c r="Q38" i="2"/>
  <c r="R38" i="2" s="1"/>
  <c r="T38" i="2" s="1"/>
  <c r="J38" i="2"/>
  <c r="K38" i="2" s="1"/>
  <c r="M38" i="2" s="1"/>
  <c r="B38" i="2"/>
  <c r="C38" i="2" s="1"/>
  <c r="E38" i="2" s="1"/>
  <c r="AA37" i="2"/>
  <c r="T37" i="2"/>
  <c r="M37" i="2"/>
  <c r="E37" i="2"/>
  <c r="I36" i="2"/>
  <c r="P36" i="2" s="1"/>
  <c r="W36" i="2" s="1"/>
  <c r="I19" i="2"/>
  <c r="P19" i="2" s="1"/>
  <c r="W19" i="2" s="1"/>
  <c r="AA31" i="2"/>
  <c r="Y31" i="2"/>
  <c r="T31" i="2"/>
  <c r="Q31" i="2"/>
  <c r="R31" i="2" s="1"/>
  <c r="Q37" i="2" s="1"/>
  <c r="M31" i="2"/>
  <c r="J31" i="2"/>
  <c r="K31" i="2" s="1"/>
  <c r="E31" i="2"/>
  <c r="B31" i="2"/>
  <c r="C31" i="2" s="1"/>
  <c r="AA30" i="2"/>
  <c r="Y30" i="2"/>
  <c r="T30" i="2"/>
  <c r="Q30" i="2"/>
  <c r="R30" i="2" s="1"/>
  <c r="M30" i="2"/>
  <c r="K30" i="2"/>
  <c r="E30" i="2"/>
  <c r="AA29" i="2"/>
  <c r="T29" i="2"/>
  <c r="Q29" i="2"/>
  <c r="R29" i="2" s="1"/>
  <c r="M29" i="2"/>
  <c r="E29" i="2"/>
  <c r="C29" i="2"/>
  <c r="AA28" i="2"/>
  <c r="Y28" i="2"/>
  <c r="T28" i="2"/>
  <c r="Q28" i="2"/>
  <c r="R28" i="2" s="1"/>
  <c r="M28" i="2"/>
  <c r="E28" i="2"/>
  <c r="C28" i="2"/>
  <c r="AA27" i="2"/>
  <c r="Y27" i="2"/>
  <c r="T27" i="2"/>
  <c r="Q27" i="2"/>
  <c r="R27" i="2" s="1"/>
  <c r="M27" i="2"/>
  <c r="K27" i="2"/>
  <c r="E27" i="2"/>
  <c r="C27" i="2"/>
  <c r="AA26" i="2"/>
  <c r="T26" i="2"/>
  <c r="Q26" i="2"/>
  <c r="R26" i="2" s="1"/>
  <c r="M26" i="2"/>
  <c r="K26" i="2"/>
  <c r="E26" i="2"/>
  <c r="C26" i="2"/>
  <c r="AA25" i="2"/>
  <c r="T25" i="2"/>
  <c r="Q25" i="2"/>
  <c r="R25" i="2" s="1"/>
  <c r="M25" i="2"/>
  <c r="E25" i="2"/>
  <c r="C25" i="2"/>
  <c r="Q24" i="2"/>
  <c r="R24" i="2" s="1"/>
  <c r="Y23" i="2"/>
  <c r="Q23" i="2"/>
  <c r="R23" i="2" s="1"/>
  <c r="S24" i="2" s="1"/>
  <c r="T24" i="2" s="1"/>
  <c r="K23" i="2"/>
  <c r="Q22" i="2"/>
  <c r="R22" i="2" s="1"/>
  <c r="T22" i="2" s="1"/>
  <c r="K22" i="2"/>
  <c r="M22" i="2" s="1"/>
  <c r="Q21" i="2"/>
  <c r="R21" i="2" s="1"/>
  <c r="K21" i="2"/>
  <c r="X14" i="2"/>
  <c r="Y14" i="2" s="1"/>
  <c r="J14" i="2"/>
  <c r="K14" i="2" s="1"/>
  <c r="B14" i="2"/>
  <c r="C14" i="2" s="1"/>
  <c r="B13" i="2"/>
  <c r="J13" i="2"/>
  <c r="K13" i="2" s="1"/>
  <c r="X13" i="2"/>
  <c r="Y13" i="2" s="1"/>
  <c r="X12" i="2"/>
  <c r="J12" i="2"/>
  <c r="K12" i="2" s="1"/>
  <c r="B12" i="2"/>
  <c r="C12" i="2" s="1"/>
  <c r="B11" i="2"/>
  <c r="J11" i="2"/>
  <c r="K11" i="2" s="1"/>
  <c r="X11" i="2"/>
  <c r="X10" i="2"/>
  <c r="Y10" i="2" s="1"/>
  <c r="J10" i="2"/>
  <c r="K10" i="2" s="1"/>
  <c r="B10" i="2"/>
  <c r="C10" i="2" s="1"/>
  <c r="X9" i="2"/>
  <c r="Y9" i="2" s="1"/>
  <c r="J9" i="2"/>
  <c r="K9" i="2" s="1"/>
  <c r="B9" i="2"/>
  <c r="C9" i="2" s="1"/>
  <c r="X8" i="2"/>
  <c r="J8" i="2"/>
  <c r="B8" i="2"/>
  <c r="J7" i="2"/>
  <c r="B7" i="2"/>
  <c r="X6" i="2"/>
  <c r="X7" i="2"/>
  <c r="Y12" i="2"/>
  <c r="B6" i="2"/>
  <c r="J6" i="2"/>
  <c r="X5" i="2"/>
  <c r="X4" i="2"/>
  <c r="J5" i="2"/>
  <c r="J4" i="2"/>
  <c r="B5" i="2"/>
  <c r="B4" i="2"/>
  <c r="C11" i="2"/>
  <c r="Q4" i="2"/>
  <c r="Q5" i="2"/>
  <c r="Q6" i="2"/>
  <c r="Q7" i="2"/>
  <c r="Q8" i="2"/>
  <c r="Q9" i="2"/>
  <c r="R9" i="2" s="1"/>
  <c r="Q10" i="2"/>
  <c r="Q11" i="2"/>
  <c r="Q12" i="2"/>
  <c r="R12" i="2" s="1"/>
  <c r="Q13" i="2"/>
  <c r="R13" i="2" s="1"/>
  <c r="Q14" i="2"/>
  <c r="R14" i="2" s="1"/>
  <c r="X3" i="2"/>
  <c r="Y11" i="2"/>
  <c r="R10" i="2"/>
  <c r="R11" i="2"/>
  <c r="C13" i="2"/>
  <c r="S23" i="2" l="1"/>
  <c r="D23" i="2"/>
  <c r="E23" i="2" s="1"/>
  <c r="E49" i="2"/>
  <c r="R20" i="2"/>
  <c r="Q32" i="2"/>
  <c r="L24" i="2"/>
  <c r="M24" i="2" s="1"/>
  <c r="J32" i="2"/>
  <c r="K20" i="2"/>
  <c r="J49" i="2"/>
  <c r="K37" i="2"/>
  <c r="Z24" i="2"/>
  <c r="AA24" i="2" s="1"/>
  <c r="AA49" i="2"/>
  <c r="Y20" i="2"/>
  <c r="L23" i="2"/>
  <c r="M23" i="2" s="1"/>
  <c r="X15" i="2"/>
  <c r="M49" i="2"/>
  <c r="R37" i="2"/>
  <c r="Q49" i="2"/>
  <c r="B32" i="2"/>
  <c r="X49" i="2"/>
  <c r="C20" i="2"/>
  <c r="T23" i="2"/>
  <c r="T49" i="2"/>
  <c r="Y37" i="2"/>
  <c r="C37" i="2"/>
  <c r="Z23" i="2"/>
  <c r="AA23" i="2" s="1"/>
  <c r="S43" i="7"/>
  <c r="S44" i="7"/>
  <c r="S45" i="7"/>
  <c r="S46" i="7"/>
  <c r="S47" i="7"/>
  <c r="S48" i="7"/>
  <c r="S42" i="7"/>
  <c r="S41" i="7"/>
  <c r="S40" i="7"/>
  <c r="S39" i="7"/>
  <c r="S37" i="7"/>
  <c r="S38" i="7"/>
  <c r="K48" i="7"/>
  <c r="L48" i="7" s="1"/>
  <c r="H48" i="7"/>
  <c r="I48" i="7" s="1"/>
  <c r="K47" i="7"/>
  <c r="L47" i="7" s="1"/>
  <c r="H47" i="7"/>
  <c r="I47" i="7" s="1"/>
  <c r="K46" i="7"/>
  <c r="L46" i="7" s="1"/>
  <c r="H46" i="7"/>
  <c r="I46" i="7" s="1"/>
  <c r="K45" i="7"/>
  <c r="L45" i="7" s="1"/>
  <c r="H45" i="7"/>
  <c r="I45" i="7" s="1"/>
  <c r="K44" i="7"/>
  <c r="L44" i="7" s="1"/>
  <c r="H44" i="7"/>
  <c r="I44" i="7" s="1"/>
  <c r="K43" i="7"/>
  <c r="L43" i="7" s="1"/>
  <c r="H43" i="7"/>
  <c r="I43" i="7" s="1"/>
  <c r="K42" i="7"/>
  <c r="L42" i="7" s="1"/>
  <c r="H42" i="7"/>
  <c r="I42" i="7" s="1"/>
  <c r="K41" i="7"/>
  <c r="L41" i="7" s="1"/>
  <c r="H41" i="7"/>
  <c r="I41" i="7" s="1"/>
  <c r="T41" i="7" s="1"/>
  <c r="K40" i="7"/>
  <c r="L40" i="7" s="1"/>
  <c r="H40" i="7"/>
  <c r="I40" i="7" s="1"/>
  <c r="K39" i="7"/>
  <c r="L39" i="7" s="1"/>
  <c r="H39" i="7"/>
  <c r="I39" i="7" s="1"/>
  <c r="R39" i="7" s="1"/>
  <c r="K38" i="7"/>
  <c r="L38" i="7" s="1"/>
  <c r="H38" i="7"/>
  <c r="I38" i="7" s="1"/>
  <c r="M36" i="7"/>
  <c r="K37" i="7" s="1"/>
  <c r="L37" i="7" s="1"/>
  <c r="J36" i="7"/>
  <c r="H37" i="7" s="1"/>
  <c r="S21" i="7"/>
  <c r="S22" i="7"/>
  <c r="S23" i="7"/>
  <c r="S24" i="7"/>
  <c r="S25" i="7"/>
  <c r="S26" i="7"/>
  <c r="S27" i="7"/>
  <c r="S28" i="7"/>
  <c r="S29" i="7"/>
  <c r="S30" i="7"/>
  <c r="S31" i="7"/>
  <c r="S20" i="7"/>
  <c r="K31" i="7"/>
  <c r="L31" i="7" s="1"/>
  <c r="K30" i="7"/>
  <c r="L30" i="7" s="1"/>
  <c r="K28" i="7"/>
  <c r="L28" i="7" s="1"/>
  <c r="K27" i="7"/>
  <c r="L27" i="7" s="1"/>
  <c r="K26" i="7"/>
  <c r="L26" i="7" s="1"/>
  <c r="K25" i="7"/>
  <c r="L25" i="7" s="1"/>
  <c r="K24" i="7"/>
  <c r="L24" i="7" s="1"/>
  <c r="K23" i="7"/>
  <c r="L23" i="7" s="1"/>
  <c r="K22" i="7"/>
  <c r="L22" i="7" s="1"/>
  <c r="K21" i="7"/>
  <c r="L21" i="7" s="1"/>
  <c r="H31" i="7"/>
  <c r="I31" i="7" s="1"/>
  <c r="H30" i="7"/>
  <c r="I30" i="7" s="1"/>
  <c r="H28" i="7"/>
  <c r="I28" i="7" s="1"/>
  <c r="H27" i="7"/>
  <c r="I27" i="7" s="1"/>
  <c r="H26" i="7"/>
  <c r="I26" i="7" s="1"/>
  <c r="H25" i="7"/>
  <c r="I25" i="7" s="1"/>
  <c r="H24" i="7"/>
  <c r="I24" i="7" s="1"/>
  <c r="H23" i="7"/>
  <c r="I23" i="7" s="1"/>
  <c r="H22" i="7"/>
  <c r="I22" i="7" s="1"/>
  <c r="H21" i="7"/>
  <c r="I21" i="7" s="1"/>
  <c r="M19" i="7"/>
  <c r="K20" i="7" s="1"/>
  <c r="L20" i="7" s="1"/>
  <c r="J19" i="7"/>
  <c r="H20" i="7" s="1"/>
  <c r="A18" i="7"/>
  <c r="A35" i="7" s="1"/>
  <c r="K29" i="7"/>
  <c r="L29" i="7" s="1"/>
  <c r="H29" i="7"/>
  <c r="I29" i="7" s="1"/>
  <c r="K13" i="7"/>
  <c r="L13" i="7"/>
  <c r="K14" i="7"/>
  <c r="L14" i="7" s="1"/>
  <c r="H13" i="7"/>
  <c r="I13" i="7" s="1"/>
  <c r="H14" i="7"/>
  <c r="I14" i="7" s="1"/>
  <c r="S13" i="7"/>
  <c r="S14" i="7"/>
  <c r="K12" i="7"/>
  <c r="L12" i="7" s="1"/>
  <c r="H12" i="7"/>
  <c r="I12" i="7" s="1"/>
  <c r="S4" i="7"/>
  <c r="S5" i="7"/>
  <c r="S6" i="7"/>
  <c r="S7" i="7"/>
  <c r="S8" i="7"/>
  <c r="S9" i="7"/>
  <c r="S10" i="7"/>
  <c r="S11" i="7"/>
  <c r="S12" i="7"/>
  <c r="S3" i="7"/>
  <c r="E4" i="7"/>
  <c r="F4" i="7" s="1"/>
  <c r="E5" i="7"/>
  <c r="F5" i="7" s="1"/>
  <c r="E6" i="7"/>
  <c r="F6" i="7" s="1"/>
  <c r="E7" i="7"/>
  <c r="F7" i="7" s="1"/>
  <c r="E8" i="7"/>
  <c r="F8" i="7" s="1"/>
  <c r="E9" i="7"/>
  <c r="F9" i="7" s="1"/>
  <c r="E10" i="7"/>
  <c r="F10" i="7" s="1"/>
  <c r="E11" i="7"/>
  <c r="F11" i="7" s="1"/>
  <c r="E12" i="7"/>
  <c r="F12" i="7" s="1"/>
  <c r="F13" i="7"/>
  <c r="E14" i="7"/>
  <c r="F14" i="7" s="1"/>
  <c r="E3" i="7"/>
  <c r="F3" i="7" s="1"/>
  <c r="B4" i="7"/>
  <c r="C4" i="7" s="1"/>
  <c r="B5" i="7"/>
  <c r="C5" i="7" s="1"/>
  <c r="B6" i="7"/>
  <c r="C6" i="7" s="1"/>
  <c r="B7" i="7"/>
  <c r="C7" i="7" s="1"/>
  <c r="B8" i="7"/>
  <c r="C8" i="7" s="1"/>
  <c r="B9" i="7"/>
  <c r="C9" i="7" s="1"/>
  <c r="B10" i="7"/>
  <c r="C10" i="7" s="1"/>
  <c r="B11" i="7"/>
  <c r="C11" i="7" s="1"/>
  <c r="B12" i="7"/>
  <c r="C12" i="7" s="1"/>
  <c r="C13" i="7"/>
  <c r="B14" i="7"/>
  <c r="C14" i="7" s="1"/>
  <c r="B3" i="7"/>
  <c r="K19" i="1"/>
  <c r="H20" i="1" s="1"/>
  <c r="E19" i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K35" i="1"/>
  <c r="H36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  <c r="H4" i="1"/>
  <c r="R12" i="7" l="1"/>
  <c r="R28" i="7"/>
  <c r="C56" i="2"/>
  <c r="B56" i="2"/>
  <c r="I20" i="7"/>
  <c r="B52" i="7"/>
  <c r="I37" i="7"/>
  <c r="R37" i="7" s="1"/>
  <c r="B53" i="7"/>
  <c r="E56" i="2" s="1"/>
  <c r="H56" i="2" s="1"/>
  <c r="D21" i="2"/>
  <c r="E21" i="2" s="1"/>
  <c r="D20" i="2"/>
  <c r="E20" i="2" s="1"/>
  <c r="E32" i="2" s="1"/>
  <c r="I36" i="1"/>
  <c r="I48" i="1" s="1"/>
  <c r="H48" i="1"/>
  <c r="C3" i="7"/>
  <c r="R3" i="7" s="1"/>
  <c r="B51" i="7"/>
  <c r="E54" i="2" s="1"/>
  <c r="Z21" i="2"/>
  <c r="AA21" i="2" s="1"/>
  <c r="Z20" i="2"/>
  <c r="AA20" i="2" s="1"/>
  <c r="AA32" i="2" s="1"/>
  <c r="L21" i="2"/>
  <c r="M21" i="2" s="1"/>
  <c r="L20" i="2"/>
  <c r="M20" i="2" s="1"/>
  <c r="M32" i="2" s="1"/>
  <c r="I4" i="1"/>
  <c r="I16" i="1" s="1"/>
  <c r="H16" i="1"/>
  <c r="I20" i="1"/>
  <c r="I32" i="1" s="1"/>
  <c r="H32" i="1"/>
  <c r="B55" i="2"/>
  <c r="S21" i="2"/>
  <c r="T21" i="2" s="1"/>
  <c r="S20" i="2"/>
  <c r="T20" i="2" s="1"/>
  <c r="T32" i="2" s="1"/>
  <c r="T38" i="7"/>
  <c r="R42" i="7"/>
  <c r="T12" i="7"/>
  <c r="N12" i="7"/>
  <c r="O12" i="7" s="1"/>
  <c r="T23" i="7"/>
  <c r="T20" i="7"/>
  <c r="R41" i="7"/>
  <c r="T3" i="7"/>
  <c r="T39" i="7"/>
  <c r="N39" i="7" s="1"/>
  <c r="O39" i="7" s="1"/>
  <c r="T40" i="7"/>
  <c r="T48" i="7"/>
  <c r="R48" i="7"/>
  <c r="R47" i="7"/>
  <c r="T47" i="7"/>
  <c r="R46" i="7"/>
  <c r="T46" i="7"/>
  <c r="N46" i="7" s="1"/>
  <c r="O46" i="7" s="1"/>
  <c r="T45" i="7"/>
  <c r="T44" i="7"/>
  <c r="R45" i="7"/>
  <c r="R43" i="7"/>
  <c r="R44" i="7"/>
  <c r="T43" i="7"/>
  <c r="T42" i="7"/>
  <c r="R40" i="7"/>
  <c r="R38" i="7"/>
  <c r="T31" i="7"/>
  <c r="R31" i="7"/>
  <c r="T30" i="7"/>
  <c r="R29" i="7"/>
  <c r="R30" i="7"/>
  <c r="T29" i="7"/>
  <c r="T28" i="7"/>
  <c r="N28" i="7" s="1"/>
  <c r="O28" i="7" s="1"/>
  <c r="T27" i="7"/>
  <c r="R27" i="7"/>
  <c r="T26" i="7"/>
  <c r="R26" i="7"/>
  <c r="R25" i="7"/>
  <c r="T25" i="7"/>
  <c r="T24" i="7"/>
  <c r="R24" i="7"/>
  <c r="R22" i="7"/>
  <c r="T22" i="7"/>
  <c r="R23" i="7"/>
  <c r="R21" i="7"/>
  <c r="T21" i="7"/>
  <c r="R20" i="7"/>
  <c r="R14" i="7"/>
  <c r="T14" i="7"/>
  <c r="N14" i="7" s="1"/>
  <c r="O14" i="7" s="1"/>
  <c r="R13" i="7"/>
  <c r="T13" i="7"/>
  <c r="T11" i="7"/>
  <c r="T10" i="7"/>
  <c r="R10" i="7"/>
  <c r="R9" i="7"/>
  <c r="T9" i="7"/>
  <c r="R8" i="7"/>
  <c r="T8" i="7"/>
  <c r="T6" i="7"/>
  <c r="R6" i="7"/>
  <c r="R11" i="7"/>
  <c r="T7" i="7"/>
  <c r="R7" i="7"/>
  <c r="R5" i="7"/>
  <c r="R4" i="7"/>
  <c r="T4" i="7"/>
  <c r="T5" i="7"/>
  <c r="Q3" i="2"/>
  <c r="J3" i="2"/>
  <c r="B3" i="2"/>
  <c r="B15" i="2" s="1"/>
  <c r="Y8" i="2"/>
  <c r="Y7" i="2"/>
  <c r="Y6" i="2"/>
  <c r="Y5" i="2"/>
  <c r="Z5" i="2" s="1"/>
  <c r="Y4" i="2"/>
  <c r="Z4" i="2" s="1"/>
  <c r="Y3" i="2"/>
  <c r="R8" i="2"/>
  <c r="R7" i="2"/>
  <c r="R6" i="2"/>
  <c r="S6" i="2" s="1"/>
  <c r="R5" i="2"/>
  <c r="S5" i="2" s="1"/>
  <c r="R4" i="2"/>
  <c r="S4" i="2" s="1"/>
  <c r="K8" i="2"/>
  <c r="K7" i="2"/>
  <c r="K6" i="2"/>
  <c r="K5" i="2"/>
  <c r="L5" i="2" s="1"/>
  <c r="K4" i="2"/>
  <c r="L4" i="2" s="1"/>
  <c r="C38" i="3"/>
  <c r="B38" i="3"/>
  <c r="B51" i="3" s="1"/>
  <c r="D35" i="3"/>
  <c r="E35" i="3" s="1"/>
  <c r="D36" i="3"/>
  <c r="E36" i="3" s="1"/>
  <c r="D37" i="3"/>
  <c r="E37" i="3" s="1"/>
  <c r="D39" i="3"/>
  <c r="E39" i="3" s="1"/>
  <c r="D40" i="3"/>
  <c r="E40" i="3" s="1"/>
  <c r="D41" i="3"/>
  <c r="E41" i="3" s="1"/>
  <c r="D42" i="3"/>
  <c r="E42" i="3" s="1"/>
  <c r="D43" i="3"/>
  <c r="E43" i="3" s="1"/>
  <c r="D44" i="3"/>
  <c r="E44" i="3" s="1"/>
  <c r="D45" i="3"/>
  <c r="E45" i="3" s="1"/>
  <c r="D34" i="3"/>
  <c r="T37" i="7" l="1"/>
  <c r="N42" i="7"/>
  <c r="O42" i="7" s="1"/>
  <c r="K3" i="2"/>
  <c r="J15" i="2"/>
  <c r="N3" i="7"/>
  <c r="C55" i="2"/>
  <c r="E55" i="2"/>
  <c r="H55" i="2" s="1"/>
  <c r="D38" i="3"/>
  <c r="E38" i="3" s="1"/>
  <c r="C51" i="3"/>
  <c r="R3" i="2"/>
  <c r="Q15" i="2"/>
  <c r="B54" i="2" s="1"/>
  <c r="H54" i="2" s="1"/>
  <c r="N43" i="7"/>
  <c r="O43" i="7" s="1"/>
  <c r="N11" i="7"/>
  <c r="O11" i="7" s="1"/>
  <c r="N20" i="7"/>
  <c r="O20" i="7" s="1"/>
  <c r="N4" i="7"/>
  <c r="O4" i="7" s="1"/>
  <c r="N45" i="7"/>
  <c r="O45" i="7" s="1"/>
  <c r="N21" i="7"/>
  <c r="O21" i="7" s="1"/>
  <c r="N22" i="7"/>
  <c r="O22" i="7" s="1"/>
  <c r="N37" i="7"/>
  <c r="O37" i="7" s="1"/>
  <c r="N47" i="7"/>
  <c r="O47" i="7" s="1"/>
  <c r="N44" i="7"/>
  <c r="O44" i="7" s="1"/>
  <c r="N38" i="7"/>
  <c r="O38" i="7" s="1"/>
  <c r="N48" i="7"/>
  <c r="O48" i="7" s="1"/>
  <c r="N41" i="7"/>
  <c r="O41" i="7" s="1"/>
  <c r="N40" i="7"/>
  <c r="O40" i="7" s="1"/>
  <c r="N24" i="7"/>
  <c r="O24" i="7" s="1"/>
  <c r="N31" i="7"/>
  <c r="O31" i="7" s="1"/>
  <c r="N25" i="7"/>
  <c r="O25" i="7" s="1"/>
  <c r="N30" i="7"/>
  <c r="O30" i="7" s="1"/>
  <c r="N23" i="7"/>
  <c r="O23" i="7" s="1"/>
  <c r="N27" i="7"/>
  <c r="O27" i="7" s="1"/>
  <c r="N26" i="7"/>
  <c r="O26" i="7" s="1"/>
  <c r="N29" i="7"/>
  <c r="O29" i="7" s="1"/>
  <c r="N13" i="7"/>
  <c r="O13" i="7" s="1"/>
  <c r="N10" i="7"/>
  <c r="O10" i="7" s="1"/>
  <c r="N9" i="7"/>
  <c r="O9" i="7" s="1"/>
  <c r="N8" i="7"/>
  <c r="O8" i="7" s="1"/>
  <c r="N7" i="7"/>
  <c r="O7" i="7" s="1"/>
  <c r="N5" i="7"/>
  <c r="O5" i="7" s="1"/>
  <c r="N6" i="7"/>
  <c r="O6" i="7" s="1"/>
  <c r="O3" i="7"/>
  <c r="D20" i="3"/>
  <c r="E20" i="3" s="1"/>
  <c r="D21" i="3"/>
  <c r="E21" i="3" s="1"/>
  <c r="D22" i="3"/>
  <c r="E22" i="3" s="1"/>
  <c r="D23" i="3"/>
  <c r="E23" i="3" s="1"/>
  <c r="D24" i="3"/>
  <c r="E24" i="3" s="1"/>
  <c r="D25" i="3"/>
  <c r="E25" i="3" s="1"/>
  <c r="D26" i="3"/>
  <c r="E26" i="3" s="1"/>
  <c r="D27" i="3"/>
  <c r="E27" i="3" s="1"/>
  <c r="D28" i="3"/>
  <c r="E28" i="3" s="1"/>
  <c r="D29" i="3"/>
  <c r="E29" i="3" s="1"/>
  <c r="D30" i="3"/>
  <c r="E30" i="3" s="1"/>
  <c r="D19" i="3"/>
  <c r="D5" i="3"/>
  <c r="E5" i="3" s="1"/>
  <c r="D6" i="3"/>
  <c r="E6" i="3" s="1"/>
  <c r="D7" i="3"/>
  <c r="E7" i="3" s="1"/>
  <c r="D8" i="3"/>
  <c r="E8" i="3" s="1"/>
  <c r="D9" i="3"/>
  <c r="E9" i="3" s="1"/>
  <c r="D10" i="3"/>
  <c r="E10" i="3" s="1"/>
  <c r="D11" i="3"/>
  <c r="E11" i="3" s="1"/>
  <c r="D12" i="3"/>
  <c r="E12" i="3" s="1"/>
  <c r="D13" i="3"/>
  <c r="E13" i="3" s="1"/>
  <c r="D14" i="3"/>
  <c r="E14" i="3" s="1"/>
  <c r="D15" i="3"/>
  <c r="E15" i="3" s="1"/>
  <c r="D4" i="3"/>
  <c r="C53" i="7" l="1"/>
  <c r="F56" i="2" s="1"/>
  <c r="I56" i="2" s="1"/>
  <c r="C52" i="7"/>
  <c r="F55" i="2" s="1"/>
  <c r="I55" i="2" s="1"/>
  <c r="C51" i="7"/>
  <c r="F54" i="2" s="1"/>
  <c r="T3" i="2"/>
  <c r="M10" i="2"/>
  <c r="AA13" i="2"/>
  <c r="AA9" i="2"/>
  <c r="AA5" i="2"/>
  <c r="AA3" i="2"/>
  <c r="AA6" i="2"/>
  <c r="AA12" i="2"/>
  <c r="AA8" i="2"/>
  <c r="AA4" i="2"/>
  <c r="AA7" i="2"/>
  <c r="AA14" i="2"/>
  <c r="AA10" i="2"/>
  <c r="AA11" i="2"/>
  <c r="M9" i="2"/>
  <c r="M12" i="2"/>
  <c r="T10" i="2"/>
  <c r="T12" i="2"/>
  <c r="T9" i="2"/>
  <c r="T8" i="2"/>
  <c r="T4" i="2"/>
  <c r="M8" i="2"/>
  <c r="M4" i="2"/>
  <c r="T7" i="2"/>
  <c r="T14" i="2"/>
  <c r="T6" i="2"/>
  <c r="T5" i="2"/>
  <c r="T13" i="2"/>
  <c r="T11" i="2"/>
  <c r="M7" i="2"/>
  <c r="M6" i="2"/>
  <c r="M13" i="2"/>
  <c r="M5" i="2"/>
  <c r="M11" i="2"/>
  <c r="M3" i="2"/>
  <c r="M14" i="2"/>
  <c r="C6" i="2"/>
  <c r="C4" i="2"/>
  <c r="D4" i="2" s="1"/>
  <c r="C5" i="2"/>
  <c r="D5" i="2" s="1"/>
  <c r="C7" i="2"/>
  <c r="C8" i="2"/>
  <c r="C3" i="2"/>
  <c r="M15" i="2" l="1"/>
  <c r="AA15" i="2"/>
  <c r="T15" i="2"/>
  <c r="B47" i="1"/>
  <c r="C47" i="1" s="1"/>
  <c r="B46" i="1"/>
  <c r="C46" i="1" s="1"/>
  <c r="B45" i="1"/>
  <c r="C45" i="1" s="1"/>
  <c r="B44" i="1"/>
  <c r="C44" i="1" s="1"/>
  <c r="B43" i="1"/>
  <c r="C43" i="1" s="1"/>
  <c r="B42" i="1"/>
  <c r="C42" i="1" s="1"/>
  <c r="B41" i="1"/>
  <c r="C41" i="1" s="1"/>
  <c r="B40" i="1"/>
  <c r="C40" i="1" s="1"/>
  <c r="B39" i="1"/>
  <c r="C39" i="1" s="1"/>
  <c r="B38" i="1"/>
  <c r="C38" i="1" s="1"/>
  <c r="B37" i="1"/>
  <c r="C37" i="1" s="1"/>
  <c r="E35" i="1"/>
  <c r="B36" i="1" s="1"/>
  <c r="B21" i="1"/>
  <c r="B22" i="1"/>
  <c r="B23" i="1"/>
  <c r="B24" i="1"/>
  <c r="B25" i="1"/>
  <c r="B26" i="1"/>
  <c r="B27" i="1"/>
  <c r="B28" i="1"/>
  <c r="B29" i="1"/>
  <c r="B30" i="1"/>
  <c r="B31" i="1"/>
  <c r="B20" i="1"/>
  <c r="B15" i="1"/>
  <c r="B14" i="1"/>
  <c r="B13" i="1"/>
  <c r="B12" i="1"/>
  <c r="B11" i="1"/>
  <c r="B10" i="1"/>
  <c r="B9" i="1"/>
  <c r="B8" i="1"/>
  <c r="B7" i="1"/>
  <c r="B6" i="1"/>
  <c r="B5" i="1"/>
  <c r="B4" i="1"/>
  <c r="B16" i="1" l="1"/>
  <c r="B51" i="1" s="1"/>
  <c r="C36" i="1"/>
  <c r="C48" i="1" s="1"/>
  <c r="C53" i="1" s="1"/>
  <c r="B48" i="1"/>
  <c r="B53" i="1" s="1"/>
  <c r="B32" i="1"/>
  <c r="B52" i="1" s="1"/>
  <c r="C21" i="1"/>
  <c r="C22" i="1"/>
  <c r="C23" i="1"/>
  <c r="C24" i="1"/>
  <c r="C25" i="1"/>
  <c r="C26" i="1"/>
  <c r="C27" i="1"/>
  <c r="C28" i="1"/>
  <c r="C29" i="1"/>
  <c r="C30" i="1"/>
  <c r="C31" i="1"/>
  <c r="C20" i="1"/>
  <c r="C32" i="1" l="1"/>
  <c r="C52" i="1" s="1"/>
  <c r="C12" i="1"/>
  <c r="C10" i="1"/>
  <c r="C6" i="1"/>
  <c r="C5" i="1"/>
  <c r="C7" i="1"/>
  <c r="C8" i="1"/>
  <c r="C9" i="1"/>
  <c r="C11" i="1"/>
  <c r="C13" i="1"/>
  <c r="C14" i="1"/>
  <c r="C15" i="1"/>
  <c r="C4" i="1"/>
  <c r="C16" i="1" l="1"/>
  <c r="C51" i="1" s="1"/>
  <c r="E34" i="3"/>
  <c r="D51" i="3" s="1"/>
  <c r="E19" i="3"/>
  <c r="D50" i="3" s="1"/>
  <c r="E4" i="3"/>
  <c r="D49" i="3" s="1"/>
  <c r="E14" i="2" l="1"/>
  <c r="E3" i="2"/>
  <c r="E5" i="2"/>
  <c r="E7" i="2"/>
  <c r="E9" i="2"/>
  <c r="E6" i="2"/>
  <c r="E10" i="2"/>
  <c r="E11" i="2"/>
  <c r="E13" i="2"/>
  <c r="E4" i="2"/>
  <c r="E8" i="2"/>
  <c r="E12" i="2"/>
  <c r="E15" i="2" l="1"/>
  <c r="C54" i="2" s="1"/>
  <c r="I54" i="2" s="1"/>
</calcChain>
</file>

<file path=xl/sharedStrings.xml><?xml version="1.0" encoding="utf-8"?>
<sst xmlns="http://schemas.openxmlformats.org/spreadsheetml/2006/main" count="503" uniqueCount="52">
  <si>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</si>
  <si>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</si>
  <si>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</si>
  <si>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</si>
  <si>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</si>
  <si>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</si>
  <si>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</si>
  <si>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</si>
  <si>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</si>
  <si>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</si>
  <si>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</si>
  <si>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</si>
  <si>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MWh</t>
  </si>
  <si>
    <t>Kč bez DPH</t>
  </si>
  <si>
    <t>Kč s DPH</t>
  </si>
  <si>
    <t>m3</t>
  </si>
  <si>
    <t>daň</t>
  </si>
  <si>
    <t>distruibuce</t>
  </si>
  <si>
    <t>dodávka</t>
  </si>
  <si>
    <t>stav plynoměru</t>
  </si>
  <si>
    <t>vodné a stočné</t>
  </si>
  <si>
    <t>VT</t>
  </si>
  <si>
    <t>NT</t>
  </si>
  <si>
    <t>TDD2</t>
  </si>
  <si>
    <t>vodoměr</t>
  </si>
  <si>
    <t>EAN859182400601622361</t>
  </si>
  <si>
    <t>3x250A</t>
  </si>
  <si>
    <t>C25d</t>
  </si>
  <si>
    <t>EIC27ZG200Z0017581Y</t>
  </si>
  <si>
    <t>Budova C</t>
  </si>
  <si>
    <t>Spalné teplo</t>
  </si>
  <si>
    <t>Budova A škola</t>
  </si>
  <si>
    <t>EIC27ZG200Z0015332S</t>
  </si>
  <si>
    <t>Jídelna</t>
  </si>
  <si>
    <t>EIC27ZG200Z0003475M</t>
  </si>
  <si>
    <t>BIOS</t>
  </si>
  <si>
    <t>EIC27ZG200Z0004394H</t>
  </si>
  <si>
    <t>odečet</t>
  </si>
  <si>
    <t>Přemysla Otakara II 938</t>
  </si>
  <si>
    <t>Jeníkovská 252</t>
  </si>
  <si>
    <t>EIC27ZG200Z0236309T</t>
  </si>
  <si>
    <t>měřidlo 32960</t>
  </si>
  <si>
    <t>měřidlo 75125676</t>
  </si>
  <si>
    <t>měřidlo 75125685</t>
  </si>
  <si>
    <t>měřidlo 75125688</t>
  </si>
  <si>
    <t>DM</t>
  </si>
  <si>
    <t>škola</t>
  </si>
  <si>
    <t>maloodběr</t>
  </si>
  <si>
    <t>střední odběr</t>
  </si>
  <si>
    <t>celkem</t>
  </si>
  <si>
    <t>VT kWh</t>
  </si>
  <si>
    <t>NT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</si>
</sst>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" fontId="0" fillId="0" borderId="0" xfId="0" applyNumberFormat="1"/>
    <xf numFmtId="3" fontId="0" fillId="0" borderId="0" xfId="0" applyNumberFormat="1"/>
    <xf numFmtId="0" fontId="0" fillId="2" borderId="0" xfId="0" applyFill="1"/>
    <xf numFmtId="164" fontId="0" fillId="0" borderId="0" xfId="0" applyNumberFormat="1"/>
    <xf numFmtId="0" fontId="0" fillId="0" borderId="0" xfId="0" applyFill="1"/>
    <xf numFmtId="3" fontId="0" fillId="0" borderId="0" xfId="0" applyNumberFormat="1" applyFill="1"/>
    <xf numFmtId="4" fontId="0" fillId="0" borderId="0" xfId="0" applyNumberFormat="1" applyFill="1"/>
    <xf numFmtId="165" fontId="0" fillId="0" borderId="0" xfId="0" applyNumberFormat="1"/>
    <xf numFmtId="0" fontId="2" fillId="0" borderId="0" xfId="0" applyFont="1"/>
    <xf numFmtId="0" fontId="2" fillId="2" borderId="0" xfId="0" applyFont="1" applyFill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topLeftCell="A15" workbookViewId="0">
      <selection activeCell="G54" sqref="G54"/>
    </sheetView>
  </sheetViews>
  <sheetFormatPr defaultRowHeight="15" x14ac:dyDescent="0.25"/>
  <cols>
    <col min="2" max="2" width="10.5703125" bestFit="1" customWidth="1"/>
    <col min="3" max="3" width="9.5703125" bestFit="1" customWidth="1"/>
    <col min="4" max="5" width="12" bestFit="1" customWidth="1"/>
  </cols>
  <sheetData>
    <row r="1" spans="1:6" x14ac:dyDescent="0.25">
      <c r="A1" t="s">
        <v>25</v>
      </c>
      <c r="D1" t="s">
        <v>23</v>
      </c>
      <c r="E1" t="s">
        <v>26</v>
      </c>
      <c r="F1" t="s">
        <v>27</v>
      </c>
    </row>
    <row r="2" spans="1:6" x14ac:dyDescent="0.25">
      <c r="B2" t="s">
        <v>21</v>
      </c>
      <c r="C2" t="s">
        <v>22</v>
      </c>
    </row>
    <row r="3" spans="1:6" x14ac:dyDescent="0.25">
      <c r="A3">
        <v>2018</v>
      </c>
      <c r="B3" t="s">
        <v>12</v>
      </c>
      <c r="D3" t="s">
        <v>13</v>
      </c>
      <c r="E3" t="s">
        <v>14</v>
      </c>
    </row>
    <row r="4" spans="1:6" x14ac:dyDescent="0.25">
      <c r="A4" t="s">
        <v>0</v>
      </c>
      <c r="B4" s="4">
        <v>13.997</v>
      </c>
      <c r="C4" s="4">
        <v>3.355</v>
      </c>
      <c r="D4" s="1">
        <f>B4*(1184+1790.15)+C4*(754+71.69)+(B4+C4)*(495+93.63+28.3)+2647.5+5.4</f>
        <v>57757.236859999997</v>
      </c>
      <c r="E4" s="1">
        <f>D4*1.21</f>
        <v>69886.256600599998</v>
      </c>
    </row>
    <row r="5" spans="1:6" x14ac:dyDescent="0.25">
      <c r="A5" t="s">
        <v>1</v>
      </c>
      <c r="B5" s="4">
        <v>11.593999999999999</v>
      </c>
      <c r="C5" s="4">
        <v>3.246</v>
      </c>
      <c r="D5" s="1">
        <f t="shared" ref="D5:D15" si="0">B5*(1184+1790.15)+C5*(754+71.69)+(B5+C5)*(495+93.63+28.3)+2647.5+5.4</f>
        <v>48970.626039999996</v>
      </c>
      <c r="E5" s="1">
        <f t="shared" ref="E5:E15" si="1">D5*1.21</f>
        <v>59254.457508399995</v>
      </c>
    </row>
    <row r="6" spans="1:6" x14ac:dyDescent="0.25">
      <c r="A6" t="s">
        <v>2</v>
      </c>
      <c r="B6" s="4">
        <v>12.362</v>
      </c>
      <c r="C6" s="4">
        <v>3.3180000000000001</v>
      </c>
      <c r="D6" s="1">
        <f t="shared" si="0"/>
        <v>51832.44412</v>
      </c>
      <c r="E6" s="1">
        <f t="shared" si="1"/>
        <v>62717.257385199999</v>
      </c>
    </row>
    <row r="7" spans="1:6" x14ac:dyDescent="0.25">
      <c r="A7" t="s">
        <v>3</v>
      </c>
      <c r="B7" s="4">
        <v>10.699</v>
      </c>
      <c r="C7" s="4">
        <v>2.56</v>
      </c>
      <c r="D7" s="1">
        <f t="shared" si="0"/>
        <v>44766.972119999999</v>
      </c>
      <c r="E7" s="1">
        <f t="shared" si="1"/>
        <v>54168.036265199997</v>
      </c>
    </row>
    <row r="8" spans="1:6" x14ac:dyDescent="0.25">
      <c r="A8" t="s">
        <v>4</v>
      </c>
      <c r="B8" s="4">
        <v>10.141</v>
      </c>
      <c r="C8" s="4">
        <v>2.4820000000000002</v>
      </c>
      <c r="D8" s="1">
        <f t="shared" si="0"/>
        <v>42650.625120000004</v>
      </c>
      <c r="E8" s="1">
        <f t="shared" si="1"/>
        <v>51607.256395200005</v>
      </c>
    </row>
    <row r="9" spans="1:6" x14ac:dyDescent="0.25">
      <c r="A9" t="s">
        <v>5</v>
      </c>
      <c r="B9" s="4">
        <v>9.3510000000000009</v>
      </c>
      <c r="C9" s="4">
        <v>2.302</v>
      </c>
      <c r="D9" s="1">
        <f t="shared" si="0"/>
        <v>39554.000320000006</v>
      </c>
      <c r="E9" s="1">
        <f t="shared" si="1"/>
        <v>47860.340387200005</v>
      </c>
    </row>
    <row r="10" spans="1:6" x14ac:dyDescent="0.25">
      <c r="A10" t="s">
        <v>6</v>
      </c>
      <c r="B10" s="4">
        <v>3.6920000000000002</v>
      </c>
      <c r="C10" s="4">
        <v>1.405</v>
      </c>
      <c r="D10" s="1">
        <f t="shared" si="0"/>
        <v>17938.048460000005</v>
      </c>
      <c r="E10" s="1">
        <f t="shared" si="1"/>
        <v>21705.038636600006</v>
      </c>
    </row>
    <row r="11" spans="1:6" x14ac:dyDescent="0.25">
      <c r="A11" t="s">
        <v>7</v>
      </c>
      <c r="B11" s="4">
        <v>4.9089999999999998</v>
      </c>
      <c r="C11" s="4">
        <v>1.724</v>
      </c>
      <c r="D11" s="1">
        <f t="shared" si="0"/>
        <v>22768.588599999999</v>
      </c>
      <c r="E11" s="1">
        <f t="shared" si="1"/>
        <v>27549.992205999999</v>
      </c>
    </row>
    <row r="12" spans="1:6" x14ac:dyDescent="0.25">
      <c r="A12" t="s">
        <v>8</v>
      </c>
      <c r="B12" s="4">
        <v>11.404</v>
      </c>
      <c r="C12" s="4">
        <v>2.5779999999999998</v>
      </c>
      <c r="D12" s="1">
        <f t="shared" si="0"/>
        <v>47324.650679999999</v>
      </c>
      <c r="E12" s="1">
        <f t="shared" si="1"/>
        <v>57262.827322799996</v>
      </c>
    </row>
    <row r="13" spans="1:6" x14ac:dyDescent="0.25">
      <c r="A13" t="s">
        <v>9</v>
      </c>
      <c r="B13" s="4">
        <v>15.442</v>
      </c>
      <c r="C13" s="4">
        <v>3.6739999999999999</v>
      </c>
      <c r="D13" s="1">
        <f t="shared" si="0"/>
        <v>63406.543239999999</v>
      </c>
      <c r="E13" s="1">
        <f t="shared" si="1"/>
        <v>76721.917320399996</v>
      </c>
    </row>
    <row r="14" spans="1:6" x14ac:dyDescent="0.25">
      <c r="A14" t="s">
        <v>10</v>
      </c>
      <c r="B14" s="4">
        <v>13.055999999999999</v>
      </c>
      <c r="C14" s="4">
        <v>3.22</v>
      </c>
      <c r="D14" s="1">
        <f t="shared" si="0"/>
        <v>54183.276879999998</v>
      </c>
      <c r="E14" s="1">
        <f t="shared" si="1"/>
        <v>65561.765024799999</v>
      </c>
    </row>
    <row r="15" spans="1:6" x14ac:dyDescent="0.25">
      <c r="A15" t="s">
        <v>11</v>
      </c>
      <c r="B15" s="4">
        <v>12.382999999999999</v>
      </c>
      <c r="C15" s="4">
        <v>3.4540000000000002</v>
      </c>
      <c r="D15" s="1">
        <f t="shared" si="0"/>
        <v>52104.053119999997</v>
      </c>
      <c r="E15" s="1">
        <f t="shared" si="1"/>
        <v>63045.904275199995</v>
      </c>
    </row>
    <row r="17" spans="1:8" x14ac:dyDescent="0.25">
      <c r="B17" t="s">
        <v>21</v>
      </c>
      <c r="C17" t="s">
        <v>22</v>
      </c>
    </row>
    <row r="18" spans="1:8" x14ac:dyDescent="0.25">
      <c r="A18">
        <v>2019</v>
      </c>
      <c r="B18" t="s">
        <v>12</v>
      </c>
      <c r="D18" t="s">
        <v>13</v>
      </c>
      <c r="E18" t="s">
        <v>14</v>
      </c>
    </row>
    <row r="19" spans="1:8" x14ac:dyDescent="0.25">
      <c r="A19" t="s">
        <v>0</v>
      </c>
      <c r="B19">
        <v>14.253</v>
      </c>
      <c r="C19">
        <v>3.7440000000000002</v>
      </c>
      <c r="D19" s="1">
        <f>B19*(1743+1873.83)+C19*(1110+98.22)+(B19+C19)*(495+76.19+28.3)+2767.5+6.93+29</f>
        <v>69666.705199999997</v>
      </c>
      <c r="E19" s="1">
        <f>D19*1.21</f>
        <v>84296.713292</v>
      </c>
      <c r="H19">
        <f>(B19+C19)*1000</f>
        <v>17997</v>
      </c>
    </row>
    <row r="20" spans="1:8" x14ac:dyDescent="0.25">
      <c r="A20" t="s">
        <v>1</v>
      </c>
      <c r="B20">
        <v>12.363</v>
      </c>
      <c r="C20">
        <v>3.2570000000000001</v>
      </c>
      <c r="D20" s="1">
        <f t="shared" ref="D20:D30" si="2">B20*(1743+1873.83)+C20*(1110+98.22)+(B20+C20)*(495+76.19+28.3)+2767.5+6.93+29</f>
        <v>60817.505629999992</v>
      </c>
      <c r="E20" s="1">
        <f t="shared" ref="E20:E30" si="3">D20*1.21</f>
        <v>73589.181812299983</v>
      </c>
      <c r="H20">
        <f t="shared" ref="H20:H30" si="4">(B20+C20)*1000</f>
        <v>15620</v>
      </c>
    </row>
    <row r="21" spans="1:8" x14ac:dyDescent="0.25">
      <c r="A21" t="s">
        <v>2</v>
      </c>
      <c r="B21">
        <v>10.925000000000001</v>
      </c>
      <c r="C21">
        <v>2.9590000000000001</v>
      </c>
      <c r="D21" s="1">
        <f t="shared" si="2"/>
        <v>54215.739890000004</v>
      </c>
      <c r="E21" s="1">
        <f t="shared" si="3"/>
        <v>65601.045266900008</v>
      </c>
      <c r="H21">
        <f t="shared" si="4"/>
        <v>13884</v>
      </c>
    </row>
    <row r="22" spans="1:8" x14ac:dyDescent="0.25">
      <c r="A22" t="s">
        <v>3</v>
      </c>
      <c r="B22">
        <v>11.128</v>
      </c>
      <c r="C22">
        <v>2.5760000000000001</v>
      </c>
      <c r="D22" s="1">
        <f t="shared" si="2"/>
        <v>54379.299919999998</v>
      </c>
      <c r="E22" s="1">
        <f t="shared" si="3"/>
        <v>65798.952903199999</v>
      </c>
      <c r="H22">
        <f t="shared" si="4"/>
        <v>13704</v>
      </c>
    </row>
    <row r="23" spans="1:8" x14ac:dyDescent="0.25">
      <c r="A23" t="s">
        <v>4</v>
      </c>
      <c r="B23">
        <v>10.901999999999999</v>
      </c>
      <c r="C23">
        <v>2.484</v>
      </c>
      <c r="D23" s="1">
        <f t="shared" si="2"/>
        <v>53260.102279999999</v>
      </c>
      <c r="E23" s="1">
        <f t="shared" si="3"/>
        <v>64444.723758799999</v>
      </c>
      <c r="H23">
        <f t="shared" si="4"/>
        <v>13386</v>
      </c>
    </row>
    <row r="24" spans="1:8" x14ac:dyDescent="0.25">
      <c r="A24" t="s">
        <v>5</v>
      </c>
      <c r="B24">
        <v>9.0559999999999992</v>
      </c>
      <c r="C24">
        <v>2.097</v>
      </c>
      <c r="D24" s="1">
        <f t="shared" si="2"/>
        <v>44777.191789999997</v>
      </c>
      <c r="E24" s="1">
        <f t="shared" si="3"/>
        <v>54180.402065899994</v>
      </c>
      <c r="H24">
        <f t="shared" si="4"/>
        <v>11152.999999999998</v>
      </c>
    </row>
    <row r="25" spans="1:8" x14ac:dyDescent="0.25">
      <c r="A25" t="s">
        <v>6</v>
      </c>
      <c r="B25">
        <v>2.8210000000000002</v>
      </c>
      <c r="C25">
        <v>1.175</v>
      </c>
      <c r="D25" s="1">
        <f t="shared" si="2"/>
        <v>16821.72797</v>
      </c>
      <c r="E25" s="1">
        <f t="shared" si="3"/>
        <v>20354.290843700001</v>
      </c>
      <c r="H25">
        <f t="shared" si="4"/>
        <v>3996.0000000000005</v>
      </c>
    </row>
    <row r="26" spans="1:8" x14ac:dyDescent="0.25">
      <c r="A26" t="s">
        <v>7</v>
      </c>
      <c r="B26">
        <v>7.29</v>
      </c>
      <c r="C26">
        <v>2.1190000000000002</v>
      </c>
      <c r="D26" s="1">
        <f t="shared" si="2"/>
        <v>37370.940289999999</v>
      </c>
      <c r="E26" s="1">
        <f t="shared" si="3"/>
        <v>45218.837750899998</v>
      </c>
      <c r="H26">
        <f t="shared" si="4"/>
        <v>9409</v>
      </c>
    </row>
    <row r="27" spans="1:8" x14ac:dyDescent="0.25">
      <c r="A27" t="s">
        <v>8</v>
      </c>
      <c r="B27">
        <v>10.895</v>
      </c>
      <c r="C27">
        <v>2.2589999999999999</v>
      </c>
      <c r="D27" s="1">
        <f t="shared" si="2"/>
        <v>52823.853289999999</v>
      </c>
      <c r="E27" s="1">
        <f t="shared" si="3"/>
        <v>63916.862480899996</v>
      </c>
      <c r="H27">
        <f t="shared" si="4"/>
        <v>13154</v>
      </c>
    </row>
    <row r="28" spans="1:8" x14ac:dyDescent="0.25">
      <c r="A28" t="s">
        <v>9</v>
      </c>
      <c r="B28">
        <v>12.972</v>
      </c>
      <c r="C28">
        <v>3.073</v>
      </c>
      <c r="D28" s="1">
        <f t="shared" si="2"/>
        <v>63052.625869999996</v>
      </c>
      <c r="E28" s="1">
        <f t="shared" si="3"/>
        <v>76293.677302699987</v>
      </c>
      <c r="H28">
        <f t="shared" si="4"/>
        <v>16044.999999999998</v>
      </c>
    </row>
    <row r="29" spans="1:8" x14ac:dyDescent="0.25">
      <c r="A29" t="s">
        <v>10</v>
      </c>
      <c r="B29">
        <v>14.845000000000001</v>
      </c>
      <c r="C29">
        <v>3.5939999999999999</v>
      </c>
      <c r="D29" s="1">
        <f t="shared" si="2"/>
        <v>71891.610140000004</v>
      </c>
      <c r="E29" s="1">
        <f t="shared" si="3"/>
        <v>86988.848269399998</v>
      </c>
      <c r="H29">
        <f t="shared" si="4"/>
        <v>18439</v>
      </c>
    </row>
    <row r="30" spans="1:8" x14ac:dyDescent="0.25">
      <c r="A30" t="s">
        <v>11</v>
      </c>
      <c r="B30">
        <v>12.157999999999999</v>
      </c>
      <c r="C30">
        <v>3.45</v>
      </c>
      <c r="D30" s="1">
        <f t="shared" si="2"/>
        <v>60302.048059999994</v>
      </c>
      <c r="E30" s="1">
        <f t="shared" si="3"/>
        <v>72965.478152599986</v>
      </c>
      <c r="H30">
        <f t="shared" si="4"/>
        <v>15608</v>
      </c>
    </row>
    <row r="32" spans="1:8" x14ac:dyDescent="0.25">
      <c r="B32" t="s">
        <v>21</v>
      </c>
      <c r="C32" t="s">
        <v>22</v>
      </c>
    </row>
    <row r="33" spans="1:5" x14ac:dyDescent="0.25">
      <c r="A33">
        <v>2020</v>
      </c>
      <c r="B33" t="s">
        <v>12</v>
      </c>
      <c r="D33" t="s">
        <v>13</v>
      </c>
      <c r="E33" t="s">
        <v>14</v>
      </c>
    </row>
    <row r="34" spans="1:5" x14ac:dyDescent="0.25">
      <c r="A34" t="s">
        <v>0</v>
      </c>
      <c r="B34">
        <v>13.932</v>
      </c>
      <c r="C34">
        <v>3.8119999999999998</v>
      </c>
      <c r="D34" s="1">
        <f>B34*(1564+1897.9)+C34*(1302+134.56)+(B34+C34)*(495+77.12+28.3)+2805+5.08</f>
        <v>67171.290000000008</v>
      </c>
      <c r="E34" s="1">
        <f>D34*1.21</f>
        <v>81277.260900000008</v>
      </c>
    </row>
    <row r="35" spans="1:5" x14ac:dyDescent="0.25">
      <c r="A35" t="s">
        <v>1</v>
      </c>
      <c r="B35">
        <v>13.618</v>
      </c>
      <c r="C35">
        <v>3.798</v>
      </c>
      <c r="D35" s="1">
        <f t="shared" ref="D35:D45" si="5">B35*(1564+1897.9)+C35*(1302+134.56)+(B35+C35)*(495+77.12+28.3)+2805+5.08</f>
        <v>65867.203800000003</v>
      </c>
      <c r="E35" s="1">
        <f t="shared" ref="E35:E45" si="6">D35*1.21</f>
        <v>79699.316598000005</v>
      </c>
    </row>
    <row r="36" spans="1:5" x14ac:dyDescent="0.25">
      <c r="A36" t="s">
        <v>2</v>
      </c>
      <c r="B36">
        <v>7.2770000000000001</v>
      </c>
      <c r="C36">
        <v>2.621</v>
      </c>
      <c r="D36" s="1">
        <f t="shared" si="5"/>
        <v>37710.507220000007</v>
      </c>
      <c r="E36" s="1">
        <f t="shared" si="6"/>
        <v>45629.713736200007</v>
      </c>
    </row>
    <row r="37" spans="1:5" x14ac:dyDescent="0.25">
      <c r="A37" t="s">
        <v>3</v>
      </c>
      <c r="B37">
        <v>4.0049999999999999</v>
      </c>
      <c r="C37">
        <v>1.51</v>
      </c>
      <c r="D37" s="1">
        <f t="shared" si="5"/>
        <v>22155.511399999999</v>
      </c>
      <c r="E37" s="1">
        <f t="shared" si="6"/>
        <v>26808.168793999997</v>
      </c>
    </row>
    <row r="38" spans="1:5" x14ac:dyDescent="0.25">
      <c r="A38" t="s">
        <v>4</v>
      </c>
      <c r="B38">
        <f>(31468-26048)/1000</f>
        <v>5.42</v>
      </c>
      <c r="C38">
        <f>(9797-8234)/1000</f>
        <v>1.5629999999999999</v>
      </c>
      <c r="D38" s="1">
        <f t="shared" si="5"/>
        <v>28011.654140000002</v>
      </c>
      <c r="E38" s="1">
        <f t="shared" si="6"/>
        <v>33894.101509400003</v>
      </c>
    </row>
    <row r="39" spans="1:5" x14ac:dyDescent="0.25">
      <c r="A39" t="s">
        <v>5</v>
      </c>
      <c r="B39">
        <v>5.931</v>
      </c>
      <c r="C39">
        <v>1.68</v>
      </c>
      <c r="D39" s="1">
        <f t="shared" si="5"/>
        <v>30325.82632</v>
      </c>
      <c r="E39" s="1">
        <f t="shared" si="6"/>
        <v>36694.249847200001</v>
      </c>
    </row>
    <row r="40" spans="1:5" x14ac:dyDescent="0.25">
      <c r="A40" t="s">
        <v>6</v>
      </c>
      <c r="B40">
        <v>3.085</v>
      </c>
      <c r="C40">
        <v>1.331</v>
      </c>
      <c r="D40" s="1">
        <f t="shared" si="5"/>
        <v>18053.557580000001</v>
      </c>
      <c r="E40" s="1">
        <f t="shared" si="6"/>
        <v>21844.804671800001</v>
      </c>
    </row>
    <row r="41" spans="1:5" x14ac:dyDescent="0.25">
      <c r="A41" t="s">
        <v>7</v>
      </c>
      <c r="B41">
        <v>4.2169999999999996</v>
      </c>
      <c r="C41">
        <v>1.552</v>
      </c>
      <c r="D41" s="1">
        <f t="shared" si="5"/>
        <v>23102.276400000002</v>
      </c>
      <c r="E41" s="1">
        <f t="shared" si="6"/>
        <v>27953.754444000002</v>
      </c>
    </row>
    <row r="42" spans="1:5" x14ac:dyDescent="0.25">
      <c r="A42" t="s">
        <v>8</v>
      </c>
      <c r="B42">
        <v>11.28</v>
      </c>
      <c r="C42">
        <v>2.661</v>
      </c>
      <c r="D42" s="1">
        <f t="shared" si="5"/>
        <v>54053.453379999992</v>
      </c>
      <c r="E42" s="1">
        <f t="shared" si="6"/>
        <v>65404.678589799987</v>
      </c>
    </row>
    <row r="43" spans="1:5" x14ac:dyDescent="0.25">
      <c r="A43" t="s">
        <v>9</v>
      </c>
      <c r="B43">
        <v>8.9580000000000002</v>
      </c>
      <c r="C43">
        <v>2.4279999999999999</v>
      </c>
      <c r="D43" s="1">
        <f t="shared" si="5"/>
        <v>44146.130000000005</v>
      </c>
      <c r="E43" s="1">
        <f t="shared" si="6"/>
        <v>53416.817300000002</v>
      </c>
    </row>
    <row r="44" spans="1:5" x14ac:dyDescent="0.25">
      <c r="A44" t="s">
        <v>10</v>
      </c>
      <c r="B44">
        <v>9.3859999999999992</v>
      </c>
      <c r="C44">
        <v>2.7519999999999998</v>
      </c>
      <c r="D44" s="1">
        <f t="shared" si="5"/>
        <v>46544.784480000002</v>
      </c>
      <c r="E44" s="1">
        <f t="shared" si="6"/>
        <v>56319.189220799999</v>
      </c>
    </row>
    <row r="45" spans="1:5" x14ac:dyDescent="0.25">
      <c r="A45" t="s">
        <v>11</v>
      </c>
      <c r="B45">
        <v>11.749000000000001</v>
      </c>
      <c r="C45">
        <v>3.165</v>
      </c>
      <c r="D45" s="1">
        <f t="shared" si="5"/>
        <v>56985.319380000001</v>
      </c>
      <c r="E45" s="1">
        <f t="shared" si="6"/>
        <v>68952.236449799995</v>
      </c>
    </row>
    <row r="48" spans="1:5" x14ac:dyDescent="0.25">
      <c r="B48" t="s">
        <v>50</v>
      </c>
      <c r="C48" t="s">
        <v>51</v>
      </c>
      <c r="D48" t="s">
        <v>14</v>
      </c>
    </row>
    <row r="49" spans="1:4" x14ac:dyDescent="0.25">
      <c r="A49">
        <v>2018</v>
      </c>
      <c r="B49" s="2">
        <f>SUM(B4:B15)*1000</f>
        <v>129030</v>
      </c>
      <c r="C49" s="2">
        <f>SUM(C4:C15)*1000</f>
        <v>33318</v>
      </c>
      <c r="D49" s="1">
        <f>SUM(E4:E15)</f>
        <v>657341.04932759993</v>
      </c>
    </row>
    <row r="50" spans="1:4" x14ac:dyDescent="0.25">
      <c r="A50">
        <v>2019</v>
      </c>
      <c r="B50" s="2">
        <f>SUM(B19:B30)*1000</f>
        <v>129607.99999999997</v>
      </c>
      <c r="C50" s="2">
        <f>SUM(C19:C30)*1000</f>
        <v>32787.000000000007</v>
      </c>
      <c r="D50" s="1">
        <f>SUM(E19:E30)</f>
        <v>773649.01389930001</v>
      </c>
    </row>
    <row r="51" spans="1:4" x14ac:dyDescent="0.25">
      <c r="A51">
        <v>2020</v>
      </c>
      <c r="B51" s="2">
        <f>SUM(B34:B45)*1000</f>
        <v>98857.999999999985</v>
      </c>
      <c r="C51" s="2">
        <f>SUM(C34:C45)*1000</f>
        <v>28873</v>
      </c>
      <c r="D51" s="1">
        <f>SUM(E34:E45)</f>
        <v>597894.2920609999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"/>
  <sheetViews>
    <sheetView workbookViewId="0">
      <selection activeCell="X7" sqref="X7:X10"/>
    </sheetView>
  </sheetViews>
  <sheetFormatPr defaultRowHeight="15" x14ac:dyDescent="0.25"/>
  <cols>
    <col min="4" max="4" width="10.7109375" bestFit="1" customWidth="1"/>
    <col min="5" max="5" width="10" bestFit="1" customWidth="1"/>
    <col min="7" max="7" width="10" customWidth="1"/>
    <col min="9" max="9" width="11.42578125" bestFit="1" customWidth="1"/>
    <col min="12" max="12" width="10.7109375" bestFit="1" customWidth="1"/>
    <col min="13" max="13" width="10" bestFit="1" customWidth="1"/>
    <col min="19" max="19" width="10.7109375" bestFit="1" customWidth="1"/>
    <col min="20" max="20" width="10" bestFit="1" customWidth="1"/>
    <col min="24" max="24" width="9.85546875" bestFit="1" customWidth="1"/>
    <col min="26" max="26" width="10.5703125" customWidth="1"/>
    <col min="27" max="27" width="10" bestFit="1" customWidth="1"/>
  </cols>
  <sheetData>
    <row r="1" spans="1:28" x14ac:dyDescent="0.25">
      <c r="A1" t="s">
        <v>32</v>
      </c>
      <c r="D1" s="3" t="s">
        <v>31</v>
      </c>
      <c r="F1" t="s">
        <v>19</v>
      </c>
      <c r="I1" t="s">
        <v>28</v>
      </c>
      <c r="L1" s="3" t="s">
        <v>29</v>
      </c>
      <c r="N1" t="s">
        <v>19</v>
      </c>
      <c r="P1" t="s">
        <v>34</v>
      </c>
      <c r="S1" s="3" t="s">
        <v>33</v>
      </c>
      <c r="U1" t="s">
        <v>19</v>
      </c>
      <c r="W1" t="s">
        <v>36</v>
      </c>
      <c r="Z1" s="3" t="s">
        <v>35</v>
      </c>
      <c r="AB1" t="s">
        <v>19</v>
      </c>
    </row>
    <row r="2" spans="1:28" x14ac:dyDescent="0.25">
      <c r="A2">
        <v>2018</v>
      </c>
      <c r="B2" t="s">
        <v>15</v>
      </c>
      <c r="C2" t="s">
        <v>12</v>
      </c>
      <c r="D2" t="s">
        <v>13</v>
      </c>
      <c r="E2" t="s">
        <v>14</v>
      </c>
      <c r="F2" s="2">
        <v>5470</v>
      </c>
      <c r="G2" t="s">
        <v>30</v>
      </c>
      <c r="I2">
        <v>2018</v>
      </c>
      <c r="J2" t="s">
        <v>15</v>
      </c>
      <c r="K2" t="s">
        <v>12</v>
      </c>
      <c r="L2" t="s">
        <v>13</v>
      </c>
      <c r="M2" t="s">
        <v>14</v>
      </c>
      <c r="N2" s="2">
        <v>490290</v>
      </c>
      <c r="P2">
        <v>2018</v>
      </c>
      <c r="Q2" t="s">
        <v>15</v>
      </c>
      <c r="R2" t="s">
        <v>12</v>
      </c>
      <c r="S2" t="s">
        <v>13</v>
      </c>
      <c r="T2" t="s">
        <v>14</v>
      </c>
      <c r="U2" s="2">
        <v>4525</v>
      </c>
      <c r="W2">
        <v>2018</v>
      </c>
      <c r="X2" t="s">
        <v>15</v>
      </c>
      <c r="Y2" t="s">
        <v>12</v>
      </c>
      <c r="Z2" t="s">
        <v>13</v>
      </c>
      <c r="AA2" t="s">
        <v>14</v>
      </c>
      <c r="AB2" s="2">
        <v>52660</v>
      </c>
    </row>
    <row r="3" spans="1:28" x14ac:dyDescent="0.25">
      <c r="A3" t="s">
        <v>0</v>
      </c>
      <c r="B3" s="2">
        <f>(F3-F2)*1.0244</f>
        <v>128.05000000000001</v>
      </c>
      <c r="C3">
        <f>B3*G3/1000</f>
        <v>1.3645136050000002</v>
      </c>
      <c r="D3" s="1">
        <v>1128.0899999999999</v>
      </c>
      <c r="E3" s="1">
        <f>D3*1.21</f>
        <v>1364.9888999999998</v>
      </c>
      <c r="F3" s="2">
        <v>5595</v>
      </c>
      <c r="G3" s="8">
        <v>10.6561</v>
      </c>
      <c r="I3" t="s">
        <v>0</v>
      </c>
      <c r="J3" s="2">
        <f>(N3-N2)*1.0244</f>
        <v>9537.1640000000007</v>
      </c>
      <c r="K3">
        <f>J3*G3/1000</f>
        <v>101.62897330040002</v>
      </c>
      <c r="L3" s="1">
        <v>68002.559999999998</v>
      </c>
      <c r="M3" s="1">
        <f>L3*1.21</f>
        <v>82283.097599999994</v>
      </c>
      <c r="N3" s="2">
        <v>499600</v>
      </c>
      <c r="P3" t="s">
        <v>0</v>
      </c>
      <c r="Q3" s="2">
        <f>(U3-U2)*0.9931</f>
        <v>134.0685</v>
      </c>
      <c r="R3">
        <f>Q3*G3/1000</f>
        <v>1.4286473428500002</v>
      </c>
      <c r="S3" s="1">
        <v>1158.5</v>
      </c>
      <c r="T3" s="1">
        <f>S3*1.21</f>
        <v>1401.7849999999999</v>
      </c>
      <c r="U3" s="2">
        <v>4660</v>
      </c>
      <c r="W3" t="s">
        <v>0</v>
      </c>
      <c r="X3" s="2">
        <f>(AB3-AB2)*1.0244</f>
        <v>3298.5679999999998</v>
      </c>
      <c r="Y3">
        <f>X3*G3/1000</f>
        <v>35.149870464799996</v>
      </c>
      <c r="Z3" s="1">
        <v>23299.43</v>
      </c>
      <c r="AA3" s="1">
        <f>Z3*1.21</f>
        <v>28192.310300000001</v>
      </c>
      <c r="AB3" s="2">
        <v>55880</v>
      </c>
    </row>
    <row r="4" spans="1:28" x14ac:dyDescent="0.25">
      <c r="A4" t="s">
        <v>1</v>
      </c>
      <c r="B4" s="2">
        <f>(F4-F3)*1.0196</f>
        <v>112.15600000000001</v>
      </c>
      <c r="C4">
        <f t="shared" ref="C4:C14" si="0">B4*G4/1000</f>
        <v>1.1949997488000001</v>
      </c>
      <c r="D4" s="1">
        <f>C4*30.6+251.05*C4+101.01+2.06*C4+469*C4</f>
        <v>1000.4982609192481</v>
      </c>
      <c r="E4" s="1">
        <f t="shared" ref="E4:E14" si="1">D4*1.21</f>
        <v>1210.6028957122901</v>
      </c>
      <c r="F4">
        <v>5705</v>
      </c>
      <c r="G4" s="8">
        <v>10.6548</v>
      </c>
      <c r="I4" t="s">
        <v>1</v>
      </c>
      <c r="J4" s="2">
        <f>(N4-N3)*1.0196</f>
        <v>9177.4196000000011</v>
      </c>
      <c r="K4">
        <f t="shared" ref="K4:K14" si="2">J4*G4/1000</f>
        <v>97.783570354080013</v>
      </c>
      <c r="L4" s="1">
        <f>30.6*K4+123.53*K4+115977.54/12*0.49+2.06*K4+469*K4</f>
        <v>65869.059899667278</v>
      </c>
      <c r="M4" s="1">
        <f t="shared" ref="M4:M14" si="3">L4*1.21</f>
        <v>79701.562478597407</v>
      </c>
      <c r="N4">
        <v>508601</v>
      </c>
      <c r="P4" t="s">
        <v>1</v>
      </c>
      <c r="Q4" s="2">
        <f t="shared" ref="Q4:Q14" si="4">(U4-U3)*0.9931</f>
        <v>100.3031</v>
      </c>
      <c r="R4">
        <f t="shared" ref="R4:R14" si="5">Q4*G4/1000</f>
        <v>1.0687094698799999</v>
      </c>
      <c r="S4" s="1">
        <f>R4*30.6+228.68*R4+115.1+2.06*R4+469*R4</f>
        <v>895.62127423215907</v>
      </c>
      <c r="T4" s="1">
        <f t="shared" ref="T4:T14" si="6">S4*1.21</f>
        <v>1083.7017418209125</v>
      </c>
      <c r="U4">
        <v>4761</v>
      </c>
      <c r="W4" t="s">
        <v>1</v>
      </c>
      <c r="X4" s="2">
        <f>(AB4-AB3)*1.0196</f>
        <v>3931.5776000000001</v>
      </c>
      <c r="Y4">
        <f t="shared" ref="Y4:Y14" si="7">X4*G4/1000</f>
        <v>41.890173012479998</v>
      </c>
      <c r="Z4" s="1">
        <f>30.6*Y4+123.53*Y4+115977.54/12*0.173+2.06*Y4+469*Y4</f>
        <v>27861.32680067237</v>
      </c>
      <c r="AA4" s="1">
        <f t="shared" ref="AA4:AA14" si="8">Z4*1.21</f>
        <v>33712.20542881357</v>
      </c>
      <c r="AB4">
        <v>59736</v>
      </c>
    </row>
    <row r="5" spans="1:28" x14ac:dyDescent="0.25">
      <c r="A5" t="s">
        <v>2</v>
      </c>
      <c r="B5" s="2">
        <f>(F5-F4)*1.0196</f>
        <v>107.05800000000001</v>
      </c>
      <c r="C5">
        <f t="shared" si="0"/>
        <v>1.1406815784</v>
      </c>
      <c r="D5" s="1">
        <f>C5*30.6+251.05*C5+101.01+2.06*C5+469*C5</f>
        <v>959.61243087746402</v>
      </c>
      <c r="E5" s="1">
        <f t="shared" si="1"/>
        <v>1161.1310413617314</v>
      </c>
      <c r="F5">
        <v>5810</v>
      </c>
      <c r="G5" s="8">
        <v>10.6548</v>
      </c>
      <c r="I5" t="s">
        <v>2</v>
      </c>
      <c r="J5" s="2">
        <f>(N5-N4)*1.0196</f>
        <v>8869.5004000000008</v>
      </c>
      <c r="K5">
        <f t="shared" si="2"/>
        <v>94.502752861920001</v>
      </c>
      <c r="L5" s="1">
        <f>30.6*K5+123.53*K5+115977.54/12*0.49+2.06*K5+469*K5</f>
        <v>63817.925611743762</v>
      </c>
      <c r="M5" s="1">
        <f t="shared" si="3"/>
        <v>77219.689990209954</v>
      </c>
      <c r="N5">
        <v>517300</v>
      </c>
      <c r="P5" t="s">
        <v>2</v>
      </c>
      <c r="Q5" s="2">
        <f t="shared" si="4"/>
        <v>98.316900000000004</v>
      </c>
      <c r="R5">
        <f t="shared" si="5"/>
        <v>1.0475469061200002</v>
      </c>
      <c r="S5" s="1">
        <f>R5*30.6+228.68*R5+115.1+2.06*R5+469*R5</f>
        <v>880.1654074156811</v>
      </c>
      <c r="T5" s="1">
        <f t="shared" si="6"/>
        <v>1065.0001429729741</v>
      </c>
      <c r="U5">
        <v>4860</v>
      </c>
      <c r="W5" t="s">
        <v>2</v>
      </c>
      <c r="X5" s="2">
        <f>(AB5-AB4)*1.0196</f>
        <v>3715.4224000000004</v>
      </c>
      <c r="Y5">
        <f t="shared" si="7"/>
        <v>39.587082587520001</v>
      </c>
      <c r="Z5" s="1">
        <f t="shared" ref="Z5" si="9">30.6*Y5+123.53*Y5+115977.54/12*0.173+2.06*Y5+469*Y5</f>
        <v>26421.45769789163</v>
      </c>
      <c r="AA5" s="1">
        <f t="shared" si="8"/>
        <v>31969.963814448871</v>
      </c>
      <c r="AB5">
        <v>63380</v>
      </c>
    </row>
    <row r="6" spans="1:28" x14ac:dyDescent="0.25">
      <c r="A6" t="s">
        <v>3</v>
      </c>
      <c r="B6" s="2">
        <f>(F6-F5)*1.0215</f>
        <v>20.43</v>
      </c>
      <c r="C6">
        <f t="shared" si="0"/>
        <v>0.21760605900000002</v>
      </c>
      <c r="D6" s="1">
        <v>264.81</v>
      </c>
      <c r="E6" s="1">
        <f t="shared" si="1"/>
        <v>320.42009999999999</v>
      </c>
      <c r="F6">
        <v>5830</v>
      </c>
      <c r="G6" s="8">
        <v>10.651300000000001</v>
      </c>
      <c r="I6" t="s">
        <v>3</v>
      </c>
      <c r="J6" s="2">
        <f>(N6-N5)*1.0215</f>
        <v>2043.0000000000002</v>
      </c>
      <c r="K6">
        <f t="shared" si="2"/>
        <v>21.760605900000005</v>
      </c>
      <c r="L6" s="1">
        <v>18108.310000000001</v>
      </c>
      <c r="M6" s="1">
        <f t="shared" si="3"/>
        <v>21911.055100000001</v>
      </c>
      <c r="N6">
        <v>519300</v>
      </c>
      <c r="P6" t="s">
        <v>3</v>
      </c>
      <c r="Q6" s="2">
        <f t="shared" si="4"/>
        <v>109.241</v>
      </c>
      <c r="R6">
        <f t="shared" si="5"/>
        <v>1.1635586633000001</v>
      </c>
      <c r="S6" s="1">
        <f>R6*30.6+228.68*R6+115.1+2.06*R6+469*R6</f>
        <v>964.89343415452208</v>
      </c>
      <c r="T6" s="1">
        <f t="shared" si="6"/>
        <v>1167.5210553269717</v>
      </c>
      <c r="U6">
        <v>4970</v>
      </c>
      <c r="W6" t="s">
        <v>3</v>
      </c>
      <c r="X6" s="2">
        <f>(AB6-AB5)*1.0215</f>
        <v>250.26750000000001</v>
      </c>
      <c r="Y6">
        <f t="shared" si="7"/>
        <v>2.6656742227500003</v>
      </c>
      <c r="Z6" s="1">
        <v>3222.58</v>
      </c>
      <c r="AA6" s="1">
        <f t="shared" si="8"/>
        <v>3899.3217999999997</v>
      </c>
      <c r="AB6">
        <v>63625</v>
      </c>
    </row>
    <row r="7" spans="1:28" x14ac:dyDescent="0.25">
      <c r="A7" t="s">
        <v>4</v>
      </c>
      <c r="B7" s="2">
        <f>(F7-F6)*1.0233</f>
        <v>20.466000000000001</v>
      </c>
      <c r="C7">
        <f t="shared" si="0"/>
        <v>0.21793220100000002</v>
      </c>
      <c r="D7" s="1">
        <v>265.05</v>
      </c>
      <c r="E7" s="1">
        <f t="shared" si="1"/>
        <v>320.71050000000002</v>
      </c>
      <c r="F7">
        <v>5850</v>
      </c>
      <c r="G7" s="8">
        <v>10.6485</v>
      </c>
      <c r="I7" t="s">
        <v>4</v>
      </c>
      <c r="J7" s="2">
        <f>(N7-N6)*1.0233</f>
        <v>440.01900000000006</v>
      </c>
      <c r="K7">
        <f t="shared" si="2"/>
        <v>4.6855423215000007</v>
      </c>
      <c r="L7" s="1">
        <v>7336.49</v>
      </c>
      <c r="M7" s="1">
        <f t="shared" si="3"/>
        <v>8877.1528999999991</v>
      </c>
      <c r="N7">
        <v>519730</v>
      </c>
      <c r="P7" t="s">
        <v>4</v>
      </c>
      <c r="Q7" s="2">
        <f t="shared" si="4"/>
        <v>99.31</v>
      </c>
      <c r="R7">
        <f t="shared" si="5"/>
        <v>1.057502535</v>
      </c>
      <c r="S7" s="1">
        <v>887.44</v>
      </c>
      <c r="T7" s="1">
        <f t="shared" si="6"/>
        <v>1073.8024</v>
      </c>
      <c r="U7">
        <v>5070</v>
      </c>
      <c r="W7" t="s">
        <v>4</v>
      </c>
      <c r="X7" s="2">
        <f t="shared" ref="X7" si="10">(AB7-AB6)*1.0196</f>
        <v>25.490000000000002</v>
      </c>
      <c r="Y7">
        <f t="shared" si="7"/>
        <v>0.271430265</v>
      </c>
      <c r="Z7" s="1">
        <v>1687.68</v>
      </c>
      <c r="AA7" s="1">
        <f t="shared" si="8"/>
        <v>2042.0928000000001</v>
      </c>
      <c r="AB7">
        <v>63650</v>
      </c>
    </row>
    <row r="8" spans="1:28" x14ac:dyDescent="0.25">
      <c r="A8" t="s">
        <v>5</v>
      </c>
      <c r="B8" s="2">
        <f>(F8-F7)*1.0218</f>
        <v>10.218</v>
      </c>
      <c r="C8">
        <f t="shared" si="0"/>
        <v>0.1087838934</v>
      </c>
      <c r="D8" s="1">
        <v>182.89</v>
      </c>
      <c r="E8" s="1">
        <f t="shared" si="1"/>
        <v>221.29689999999997</v>
      </c>
      <c r="F8">
        <v>5860</v>
      </c>
      <c r="G8" s="8">
        <v>10.6463</v>
      </c>
      <c r="I8" t="s">
        <v>5</v>
      </c>
      <c r="J8" s="2">
        <f>(N8-N7)*1.0218</f>
        <v>418.93800000000005</v>
      </c>
      <c r="K8">
        <f t="shared" si="2"/>
        <v>4.4601396294000004</v>
      </c>
      <c r="L8" s="1">
        <v>7176.26</v>
      </c>
      <c r="M8" s="1">
        <f t="shared" si="3"/>
        <v>8683.2746000000006</v>
      </c>
      <c r="N8">
        <v>520140</v>
      </c>
      <c r="P8" t="s">
        <v>5</v>
      </c>
      <c r="Q8" s="2">
        <f t="shared" si="4"/>
        <v>129.10300000000001</v>
      </c>
      <c r="R8">
        <f t="shared" si="5"/>
        <v>1.3744692689</v>
      </c>
      <c r="S8" s="1">
        <v>1118.93</v>
      </c>
      <c r="T8" s="1">
        <f t="shared" si="6"/>
        <v>1353.9053000000001</v>
      </c>
      <c r="U8">
        <v>5200</v>
      </c>
      <c r="W8" t="s">
        <v>5</v>
      </c>
      <c r="X8" s="2">
        <f>(AB8-AB7)*1.0218</f>
        <v>20.436</v>
      </c>
      <c r="Y8">
        <f t="shared" si="7"/>
        <v>0.2175677868</v>
      </c>
      <c r="Z8" s="1">
        <v>1634.07</v>
      </c>
      <c r="AA8" s="1">
        <f t="shared" si="8"/>
        <v>1977.2246999999998</v>
      </c>
      <c r="AB8">
        <v>63670</v>
      </c>
    </row>
    <row r="9" spans="1:28" x14ac:dyDescent="0.25">
      <c r="A9" t="s">
        <v>6</v>
      </c>
      <c r="B9" s="2">
        <f>(F9-F8)*1.0215</f>
        <v>10.215</v>
      </c>
      <c r="C9">
        <f t="shared" si="0"/>
        <v>0.108744804</v>
      </c>
      <c r="D9" s="1">
        <v>182.86</v>
      </c>
      <c r="E9" s="1">
        <f t="shared" si="1"/>
        <v>221.26060000000001</v>
      </c>
      <c r="F9">
        <v>5870</v>
      </c>
      <c r="G9" s="8">
        <v>10.6456</v>
      </c>
      <c r="I9" t="s">
        <v>6</v>
      </c>
      <c r="J9" s="2">
        <f>(N9-N8)*1.0215</f>
        <v>194.08500000000001</v>
      </c>
      <c r="K9">
        <f t="shared" si="2"/>
        <v>2.0661512760000003</v>
      </c>
      <c r="L9" s="1">
        <v>5640.89</v>
      </c>
      <c r="M9" s="1">
        <f t="shared" si="3"/>
        <v>6825.4769000000006</v>
      </c>
      <c r="N9">
        <v>520330</v>
      </c>
      <c r="P9" t="s">
        <v>6</v>
      </c>
      <c r="Q9" s="2">
        <f t="shared" si="4"/>
        <v>0</v>
      </c>
      <c r="R9">
        <f t="shared" si="5"/>
        <v>0</v>
      </c>
      <c r="S9" s="1">
        <v>115.1</v>
      </c>
      <c r="T9" s="1">
        <f t="shared" si="6"/>
        <v>139.27099999999999</v>
      </c>
      <c r="U9">
        <v>5200</v>
      </c>
      <c r="W9" t="s">
        <v>6</v>
      </c>
      <c r="X9" s="2">
        <f>(AB9-AB8)*1.0215</f>
        <v>30.645000000000003</v>
      </c>
      <c r="Y9">
        <f t="shared" si="7"/>
        <v>0.32623441200000003</v>
      </c>
      <c r="Z9" s="1">
        <v>1740.65</v>
      </c>
      <c r="AA9" s="1">
        <f t="shared" si="8"/>
        <v>2106.1865000000003</v>
      </c>
      <c r="AB9">
        <v>63700</v>
      </c>
    </row>
    <row r="10" spans="1:28" x14ac:dyDescent="0.25">
      <c r="A10" t="s">
        <v>7</v>
      </c>
      <c r="B10" s="2">
        <f>(F10-F9)*1.0215</f>
        <v>10.215</v>
      </c>
      <c r="C10">
        <f t="shared" si="0"/>
        <v>0.108740718</v>
      </c>
      <c r="D10" s="1">
        <v>182.86</v>
      </c>
      <c r="E10" s="1">
        <f t="shared" si="1"/>
        <v>221.26060000000001</v>
      </c>
      <c r="F10">
        <v>5880</v>
      </c>
      <c r="G10" s="8">
        <v>10.645200000000001</v>
      </c>
      <c r="I10" t="s">
        <v>7</v>
      </c>
      <c r="J10" s="2">
        <f>115*1.0215+260*1.0215</f>
        <v>383.06250000000006</v>
      </c>
      <c r="K10">
        <f t="shared" si="2"/>
        <v>4.0777769250000011</v>
      </c>
      <c r="L10" s="1">
        <v>6850.21</v>
      </c>
      <c r="M10" s="1">
        <f t="shared" si="3"/>
        <v>8288.7541000000001</v>
      </c>
      <c r="N10">
        <v>117</v>
      </c>
      <c r="P10" t="s">
        <v>7</v>
      </c>
      <c r="Q10" s="2">
        <f t="shared" si="4"/>
        <v>0</v>
      </c>
      <c r="R10">
        <f t="shared" si="5"/>
        <v>0</v>
      </c>
      <c r="S10" s="1">
        <v>115.1</v>
      </c>
      <c r="T10" s="1">
        <f t="shared" si="6"/>
        <v>139.27099999999999</v>
      </c>
      <c r="U10">
        <v>5200</v>
      </c>
      <c r="W10" t="s">
        <v>7</v>
      </c>
      <c r="X10" s="2">
        <f>(AB10-AB9)*1.0215</f>
        <v>30.645000000000003</v>
      </c>
      <c r="Y10">
        <f t="shared" si="7"/>
        <v>0.32622215400000004</v>
      </c>
      <c r="Z10" s="1">
        <v>1759.98</v>
      </c>
      <c r="AA10" s="1">
        <f t="shared" si="8"/>
        <v>2129.5758000000001</v>
      </c>
      <c r="AB10">
        <v>63730</v>
      </c>
    </row>
    <row r="11" spans="1:28" x14ac:dyDescent="0.25">
      <c r="A11" t="s">
        <v>8</v>
      </c>
      <c r="B11" s="2">
        <f>(F11-F10)*1.0215</f>
        <v>30.645000000000003</v>
      </c>
      <c r="C11">
        <f t="shared" si="0"/>
        <v>0.32622828300000001</v>
      </c>
      <c r="D11" s="1">
        <v>346.56</v>
      </c>
      <c r="E11" s="1">
        <f t="shared" si="1"/>
        <v>419.33760000000001</v>
      </c>
      <c r="F11">
        <v>5910</v>
      </c>
      <c r="G11" s="8">
        <v>10.6454</v>
      </c>
      <c r="I11" t="s">
        <v>8</v>
      </c>
      <c r="J11" s="2">
        <f>(N11-N10)*1.0215</f>
        <v>1571.067</v>
      </c>
      <c r="K11">
        <f t="shared" si="2"/>
        <v>16.7246366418</v>
      </c>
      <c r="L11" s="1">
        <v>14640.92</v>
      </c>
      <c r="M11" s="1">
        <f t="shared" si="3"/>
        <v>17715.513200000001</v>
      </c>
      <c r="N11">
        <v>1655</v>
      </c>
      <c r="P11" t="s">
        <v>8</v>
      </c>
      <c r="Q11" s="2">
        <f t="shared" si="4"/>
        <v>129.10300000000001</v>
      </c>
      <c r="R11">
        <f t="shared" si="5"/>
        <v>1.3743530762</v>
      </c>
      <c r="S11" s="1">
        <v>1118.8499999999999</v>
      </c>
      <c r="T11" s="1">
        <f t="shared" si="6"/>
        <v>1353.8084999999999</v>
      </c>
      <c r="U11">
        <v>5330</v>
      </c>
      <c r="W11" t="s">
        <v>8</v>
      </c>
      <c r="X11" s="2">
        <f>(AB11-AB10)*1.0215</f>
        <v>153.22500000000002</v>
      </c>
      <c r="Y11">
        <f t="shared" si="7"/>
        <v>1.6311414150000003</v>
      </c>
      <c r="Z11" s="1">
        <v>2508.14</v>
      </c>
      <c r="AA11" s="1">
        <f t="shared" si="8"/>
        <v>3034.8493999999996</v>
      </c>
      <c r="AB11">
        <v>63880</v>
      </c>
    </row>
    <row r="12" spans="1:28" x14ac:dyDescent="0.25">
      <c r="A12" t="s">
        <v>9</v>
      </c>
      <c r="B12" s="2">
        <f>(F12-F11)*1.0211</f>
        <v>20.421999999999997</v>
      </c>
      <c r="C12">
        <f t="shared" si="0"/>
        <v>0.21739014779999996</v>
      </c>
      <c r="D12" s="1">
        <v>264.64999999999998</v>
      </c>
      <c r="E12" s="1">
        <f t="shared" si="1"/>
        <v>320.22649999999999</v>
      </c>
      <c r="F12">
        <v>5930</v>
      </c>
      <c r="G12" s="8">
        <v>10.6449</v>
      </c>
      <c r="I12" t="s">
        <v>9</v>
      </c>
      <c r="J12" s="2">
        <f>(N12-N11)*1.0211</f>
        <v>4314.1474999999991</v>
      </c>
      <c r="K12">
        <f t="shared" si="2"/>
        <v>45.923668722749994</v>
      </c>
      <c r="L12" s="1">
        <v>33156.81</v>
      </c>
      <c r="M12" s="1">
        <f t="shared" si="3"/>
        <v>40119.740099999995</v>
      </c>
      <c r="N12">
        <v>5880</v>
      </c>
      <c r="P12" t="s">
        <v>9</v>
      </c>
      <c r="Q12" s="2">
        <f t="shared" si="4"/>
        <v>121.15819999999999</v>
      </c>
      <c r="R12">
        <f t="shared" si="5"/>
        <v>1.2897169231799999</v>
      </c>
      <c r="S12" s="1">
        <v>1057.04</v>
      </c>
      <c r="T12" s="1">
        <f t="shared" si="6"/>
        <v>1279.0183999999999</v>
      </c>
      <c r="U12">
        <v>5452</v>
      </c>
      <c r="W12" t="s">
        <v>9</v>
      </c>
      <c r="X12" s="2">
        <f>(AB12-AB11)*1.0211</f>
        <v>684.13699999999994</v>
      </c>
      <c r="Y12">
        <f t="shared" si="7"/>
        <v>7.2825699512999993</v>
      </c>
      <c r="Z12" s="1">
        <v>6031.71</v>
      </c>
      <c r="AA12" s="1">
        <f t="shared" si="8"/>
        <v>7298.3690999999999</v>
      </c>
      <c r="AB12">
        <v>64550</v>
      </c>
    </row>
    <row r="13" spans="1:28" x14ac:dyDescent="0.25">
      <c r="A13" t="s">
        <v>10</v>
      </c>
      <c r="B13" s="2">
        <f>(F13-F12)*1.0204</f>
        <v>40.816000000000003</v>
      </c>
      <c r="C13">
        <f t="shared" si="0"/>
        <v>0.43451489120000003</v>
      </c>
      <c r="D13" s="1">
        <v>428.07</v>
      </c>
      <c r="E13" s="1">
        <f t="shared" si="1"/>
        <v>517.96469999999999</v>
      </c>
      <c r="F13">
        <v>5970</v>
      </c>
      <c r="G13" s="8">
        <v>10.6457</v>
      </c>
      <c r="I13" t="s">
        <v>10</v>
      </c>
      <c r="J13" s="2">
        <f>(N13-N12)*1.0204</f>
        <v>7142.8</v>
      </c>
      <c r="K13">
        <f t="shared" si="2"/>
        <v>76.040105960000005</v>
      </c>
      <c r="L13" s="1">
        <v>51991.76</v>
      </c>
      <c r="M13" s="1">
        <f t="shared" si="3"/>
        <v>62910.029600000002</v>
      </c>
      <c r="N13">
        <v>12880</v>
      </c>
      <c r="P13" t="s">
        <v>10</v>
      </c>
      <c r="Q13" s="2">
        <f t="shared" si="4"/>
        <v>146.97880000000001</v>
      </c>
      <c r="R13">
        <f t="shared" si="5"/>
        <v>1.5646922111599999</v>
      </c>
      <c r="S13" s="1">
        <v>1257.83</v>
      </c>
      <c r="T13" s="1">
        <f t="shared" si="6"/>
        <v>1521.9742999999999</v>
      </c>
      <c r="U13">
        <v>5600</v>
      </c>
      <c r="W13" t="s">
        <v>10</v>
      </c>
      <c r="X13" s="2">
        <f>(AB13-AB12)*0.9931</f>
        <v>2055.7170000000001</v>
      </c>
      <c r="Y13">
        <f t="shared" si="7"/>
        <v>21.884546466899998</v>
      </c>
      <c r="Z13" s="1">
        <v>15118.83</v>
      </c>
      <c r="AA13" s="1">
        <f t="shared" si="8"/>
        <v>18293.784299999999</v>
      </c>
      <c r="AB13">
        <v>66620</v>
      </c>
    </row>
    <row r="14" spans="1:28" x14ac:dyDescent="0.25">
      <c r="A14" t="s">
        <v>11</v>
      </c>
      <c r="B14" s="2">
        <f>(F14-F13)*1.0204</f>
        <v>51.019999999999996</v>
      </c>
      <c r="C14">
        <f t="shared" si="0"/>
        <v>0.54323034799999992</v>
      </c>
      <c r="D14" s="1">
        <v>509.9</v>
      </c>
      <c r="E14" s="1">
        <f t="shared" si="1"/>
        <v>616.97899999999993</v>
      </c>
      <c r="F14">
        <v>6020</v>
      </c>
      <c r="G14" s="8">
        <v>10.647399999999999</v>
      </c>
      <c r="I14" t="s">
        <v>11</v>
      </c>
      <c r="J14" s="2">
        <f>(N14-N13)*1.0204</f>
        <v>8142.7919999999995</v>
      </c>
      <c r="K14">
        <f t="shared" si="2"/>
        <v>86.6995635408</v>
      </c>
      <c r="L14" s="1">
        <v>58514.2</v>
      </c>
      <c r="M14" s="1">
        <f t="shared" si="3"/>
        <v>70802.182000000001</v>
      </c>
      <c r="N14">
        <v>20860</v>
      </c>
      <c r="P14" t="s">
        <v>11</v>
      </c>
      <c r="Q14" s="2">
        <f t="shared" si="4"/>
        <v>99.31</v>
      </c>
      <c r="R14">
        <f t="shared" si="5"/>
        <v>1.0573932939999999</v>
      </c>
      <c r="S14" s="1">
        <v>887.36</v>
      </c>
      <c r="T14" s="1">
        <f t="shared" si="6"/>
        <v>1073.7056</v>
      </c>
      <c r="U14">
        <v>5700</v>
      </c>
      <c r="W14" t="s">
        <v>11</v>
      </c>
      <c r="X14" s="2">
        <f>(AB14-AB13)*0.9931</f>
        <v>3277.23</v>
      </c>
      <c r="Y14">
        <f t="shared" si="7"/>
        <v>34.893978701999998</v>
      </c>
      <c r="Z14" s="1">
        <v>23274.75</v>
      </c>
      <c r="AA14" s="1">
        <f t="shared" si="8"/>
        <v>28162.447499999998</v>
      </c>
      <c r="AB14">
        <v>69920</v>
      </c>
    </row>
    <row r="15" spans="1:28" x14ac:dyDescent="0.25">
      <c r="B15" s="2">
        <f>SUM(B3:B14)</f>
        <v>561.71100000000001</v>
      </c>
      <c r="D15" s="1"/>
      <c r="E15" s="2">
        <f>SUM(E3:E14)</f>
        <v>6916.1793370740206</v>
      </c>
      <c r="G15" s="1"/>
      <c r="J15" s="2">
        <f>SUM(J3:J14)</f>
        <v>52233.995000000003</v>
      </c>
      <c r="L15" s="1"/>
      <c r="M15" s="2">
        <f>SUM(M3:M14)</f>
        <v>485337.52856880741</v>
      </c>
      <c r="Q15" s="2">
        <f>SUM(Q3:Q14)</f>
        <v>1166.8924999999999</v>
      </c>
      <c r="S15" s="1"/>
      <c r="T15" s="2">
        <f>SUM(T3:T14)</f>
        <v>12652.764440120856</v>
      </c>
      <c r="X15" s="2">
        <f>SUM(X3:X14)</f>
        <v>17473.360500000003</v>
      </c>
      <c r="Z15" s="1"/>
      <c r="AA15" s="2">
        <f>SUM(AA3:AA14)</f>
        <v>162818.33144326246</v>
      </c>
    </row>
    <row r="18" spans="1:28" x14ac:dyDescent="0.25">
      <c r="A18" t="s">
        <v>32</v>
      </c>
      <c r="D18" s="3" t="s">
        <v>31</v>
      </c>
      <c r="F18" t="s">
        <v>19</v>
      </c>
      <c r="I18" t="s">
        <v>28</v>
      </c>
      <c r="L18" s="3" t="s">
        <v>29</v>
      </c>
      <c r="N18" t="s">
        <v>19</v>
      </c>
      <c r="P18" t="s">
        <v>34</v>
      </c>
      <c r="S18" s="3" t="s">
        <v>33</v>
      </c>
      <c r="U18" t="s">
        <v>19</v>
      </c>
      <c r="W18" t="s">
        <v>36</v>
      </c>
      <c r="Z18" s="3" t="s">
        <v>35</v>
      </c>
      <c r="AB18" t="s">
        <v>19</v>
      </c>
    </row>
    <row r="19" spans="1:28" x14ac:dyDescent="0.25">
      <c r="A19">
        <v>2019</v>
      </c>
      <c r="B19" t="s">
        <v>15</v>
      </c>
      <c r="C19" t="s">
        <v>12</v>
      </c>
      <c r="D19" t="s">
        <v>13</v>
      </c>
      <c r="E19" t="s">
        <v>14</v>
      </c>
      <c r="F19" s="2">
        <f>F14</f>
        <v>6020</v>
      </c>
      <c r="G19" t="s">
        <v>30</v>
      </c>
      <c r="I19">
        <f>A19</f>
        <v>2019</v>
      </c>
      <c r="J19" t="s">
        <v>15</v>
      </c>
      <c r="K19" t="s">
        <v>12</v>
      </c>
      <c r="L19" t="s">
        <v>13</v>
      </c>
      <c r="M19" t="s">
        <v>14</v>
      </c>
      <c r="N19" s="2">
        <f>N14</f>
        <v>20860</v>
      </c>
      <c r="P19">
        <f>I19</f>
        <v>2019</v>
      </c>
      <c r="Q19" t="s">
        <v>15</v>
      </c>
      <c r="R19" t="s">
        <v>12</v>
      </c>
      <c r="S19" t="s">
        <v>13</v>
      </c>
      <c r="T19" t="s">
        <v>14</v>
      </c>
      <c r="U19" s="2">
        <f>U14</f>
        <v>5700</v>
      </c>
      <c r="W19">
        <f>P19</f>
        <v>2019</v>
      </c>
      <c r="X19" t="s">
        <v>15</v>
      </c>
      <c r="Y19" t="s">
        <v>12</v>
      </c>
      <c r="Z19" t="s">
        <v>13</v>
      </c>
      <c r="AA19" t="s">
        <v>14</v>
      </c>
      <c r="AB19" s="2">
        <f>AB14</f>
        <v>69920</v>
      </c>
    </row>
    <row r="20" spans="1:28" x14ac:dyDescent="0.25">
      <c r="A20" t="s">
        <v>0</v>
      </c>
      <c r="B20" s="2">
        <f>(F20-F19)*1.02</f>
        <v>63.24</v>
      </c>
      <c r="C20">
        <f>B20*G20/1000</f>
        <v>0.67401824399999999</v>
      </c>
      <c r="D20" s="1">
        <f>1333.85/(C20+C21)*C20</f>
        <v>751.80636363636359</v>
      </c>
      <c r="E20" s="1">
        <f>D20*1.21</f>
        <v>909.68569999999988</v>
      </c>
      <c r="F20" s="2">
        <v>6082</v>
      </c>
      <c r="G20" s="8">
        <v>10.658099999999999</v>
      </c>
      <c r="I20" t="s">
        <v>0</v>
      </c>
      <c r="J20" s="2">
        <f>(N20-N19)*1.02</f>
        <v>10651.86</v>
      </c>
      <c r="K20">
        <f>J20*G20/1000</f>
        <v>113.528589066</v>
      </c>
      <c r="L20" s="1">
        <f>172333.42/(K20+K21)*K20</f>
        <v>96965.404367456897</v>
      </c>
      <c r="M20" s="1">
        <f>L20*1.21</f>
        <v>117328.13928462284</v>
      </c>
      <c r="N20" s="2">
        <v>31303</v>
      </c>
      <c r="P20" t="s">
        <v>0</v>
      </c>
      <c r="Q20" s="2">
        <f>(U20-U19)*0.9931</f>
        <v>144.99260000000001</v>
      </c>
      <c r="R20">
        <f>Q20*G20/1000</f>
        <v>1.5453456300600001</v>
      </c>
      <c r="S20" s="1">
        <f>2774.65/(R20+R21)*R20</f>
        <v>1558.0726923076925</v>
      </c>
      <c r="T20" s="1">
        <f>S20*1.21</f>
        <v>1885.2679576923078</v>
      </c>
      <c r="U20" s="2">
        <v>5846</v>
      </c>
      <c r="W20" t="s">
        <v>0</v>
      </c>
      <c r="X20" s="2">
        <f t="shared" ref="X20:X29" si="11">(AB20-AB19)*0.9931</f>
        <v>4681.4733999999999</v>
      </c>
      <c r="Y20">
        <f>X20*G20/1000</f>
        <v>49.895611644539997</v>
      </c>
      <c r="Z20" s="1">
        <f>75067.58/(Y20+Y21)*Y20</f>
        <v>42127.210966666666</v>
      </c>
      <c r="AA20" s="1">
        <f>Z20*1.21</f>
        <v>50973.925269666666</v>
      </c>
      <c r="AB20" s="2">
        <v>74634</v>
      </c>
    </row>
    <row r="21" spans="1:28" x14ac:dyDescent="0.25">
      <c r="A21" t="s">
        <v>1</v>
      </c>
      <c r="B21" s="2">
        <f>(F21-F20)*1.02</f>
        <v>48.96</v>
      </c>
      <c r="C21">
        <f t="shared" ref="C21:C31" si="12">B21*G21/1000</f>
        <v>0.52182057599999998</v>
      </c>
      <c r="D21" s="1">
        <f>1333.85/(C20+C21)*C21</f>
        <v>582.04363636363632</v>
      </c>
      <c r="E21" s="1">
        <f t="shared" ref="E21:E31" si="13">D21*1.21</f>
        <v>704.27279999999996</v>
      </c>
      <c r="F21">
        <v>6130</v>
      </c>
      <c r="G21" s="8">
        <v>10.658099999999999</v>
      </c>
      <c r="I21" t="s">
        <v>1</v>
      </c>
      <c r="J21" s="2">
        <f>(N21-N20)*1.02</f>
        <v>8279.34</v>
      </c>
      <c r="K21">
        <f t="shared" ref="K21:K31" si="14">J21*G21/1000</f>
        <v>88.242033653999997</v>
      </c>
      <c r="L21" s="1">
        <f>172333.42/(K20+K21)*K21</f>
        <v>75368.015632543102</v>
      </c>
      <c r="M21" s="1">
        <f t="shared" ref="M21:M31" si="15">L21*1.21</f>
        <v>91195.298915377149</v>
      </c>
      <c r="N21">
        <v>39420</v>
      </c>
      <c r="P21" t="s">
        <v>1</v>
      </c>
      <c r="Q21" s="2">
        <f t="shared" ref="Q21:Q31" si="16">(U21-U20)*0.9931</f>
        <v>113.21339999999999</v>
      </c>
      <c r="R21">
        <f t="shared" ref="R21:R31" si="17">Q21*G21/1000</f>
        <v>1.2066397385399998</v>
      </c>
      <c r="S21" s="1">
        <f>2774.65/(R20+R21)*R21</f>
        <v>1216.5773076923076</v>
      </c>
      <c r="T21" s="1">
        <f t="shared" ref="T21:T31" si="18">S21*1.21</f>
        <v>1472.0585423076923</v>
      </c>
      <c r="U21">
        <v>5960</v>
      </c>
      <c r="W21" t="s">
        <v>1</v>
      </c>
      <c r="X21" s="2">
        <f t="shared" si="11"/>
        <v>3660.5666000000001</v>
      </c>
      <c r="Y21">
        <f t="shared" ref="Y21:Y31" si="19">X21*G21/1000</f>
        <v>39.014684879459999</v>
      </c>
      <c r="Z21" s="1">
        <f>75067.58/(Y20+Y21)*Y21</f>
        <v>32940.369033333336</v>
      </c>
      <c r="AA21" s="1">
        <f t="shared" ref="AA21:AA31" si="20">Z21*1.21</f>
        <v>39857.846530333336</v>
      </c>
      <c r="AB21">
        <v>78320</v>
      </c>
    </row>
    <row r="22" spans="1:28" x14ac:dyDescent="0.25">
      <c r="A22" t="s">
        <v>2</v>
      </c>
      <c r="B22" s="2">
        <f>(F22-F21)*1.0218</f>
        <v>61.308</v>
      </c>
      <c r="C22">
        <f t="shared" si="12"/>
        <v>0.65368428840000004</v>
      </c>
      <c r="D22" s="1">
        <v>719.73</v>
      </c>
      <c r="E22" s="1">
        <f t="shared" si="13"/>
        <v>870.87329999999997</v>
      </c>
      <c r="F22">
        <v>6190</v>
      </c>
      <c r="G22" s="8">
        <v>10.6623</v>
      </c>
      <c r="I22" t="s">
        <v>2</v>
      </c>
      <c r="J22" s="2">
        <f>(N22-N21)*1.0218</f>
        <v>6559.9560000000001</v>
      </c>
      <c r="K22">
        <f t="shared" si="14"/>
        <v>69.944218858799999</v>
      </c>
      <c r="L22" s="1">
        <v>60979.64</v>
      </c>
      <c r="M22" s="1">
        <f t="shared" si="15"/>
        <v>73785.364399999991</v>
      </c>
      <c r="N22">
        <v>45840</v>
      </c>
      <c r="P22" t="s">
        <v>2</v>
      </c>
      <c r="Q22" s="2">
        <f t="shared" si="16"/>
        <v>89.379000000000005</v>
      </c>
      <c r="R22">
        <f t="shared" si="17"/>
        <v>0.95298571170000002</v>
      </c>
      <c r="S22" s="1">
        <v>996</v>
      </c>
      <c r="T22" s="1">
        <f t="shared" si="18"/>
        <v>1205.1599999999999</v>
      </c>
      <c r="U22">
        <v>6050</v>
      </c>
      <c r="W22" t="s">
        <v>2</v>
      </c>
      <c r="X22" s="2">
        <f t="shared" si="11"/>
        <v>1747.856</v>
      </c>
      <c r="Y22">
        <f t="shared" si="19"/>
        <v>18.636165028800001</v>
      </c>
      <c r="Z22" s="1">
        <v>16556.41</v>
      </c>
      <c r="AA22" s="1">
        <f t="shared" si="20"/>
        <v>20033.256099999999</v>
      </c>
      <c r="AB22">
        <v>80080</v>
      </c>
    </row>
    <row r="23" spans="1:28" x14ac:dyDescent="0.25">
      <c r="A23" t="s">
        <v>3</v>
      </c>
      <c r="B23" s="2">
        <f>(F23-F22)*1.0182</f>
        <v>38.691600000000001</v>
      </c>
      <c r="C23">
        <f t="shared" si="12"/>
        <v>0.41269234391999998</v>
      </c>
      <c r="D23" s="1">
        <f>921.27/(C23+C24)*C23</f>
        <v>500.11799999999999</v>
      </c>
      <c r="E23" s="1">
        <f t="shared" si="13"/>
        <v>605.14278000000002</v>
      </c>
      <c r="F23">
        <v>6228</v>
      </c>
      <c r="G23" s="8">
        <v>10.6662</v>
      </c>
      <c r="I23" t="s">
        <v>3</v>
      </c>
      <c r="J23" s="2">
        <f>(N23-N22)*1.0182</f>
        <v>4598.1912000000002</v>
      </c>
      <c r="K23">
        <f t="shared" si="14"/>
        <v>49.045226977440002</v>
      </c>
      <c r="L23" s="1">
        <f>83657.12/(K23+K24)*K23</f>
        <v>44922.182392390008</v>
      </c>
      <c r="M23" s="1">
        <f t="shared" si="15"/>
        <v>54355.840694791907</v>
      </c>
      <c r="N23">
        <v>50356</v>
      </c>
      <c r="P23" t="s">
        <v>3</v>
      </c>
      <c r="Q23" s="2">
        <f t="shared" si="16"/>
        <v>133.0754</v>
      </c>
      <c r="R23">
        <f t="shared" si="17"/>
        <v>1.4194088314800002</v>
      </c>
      <c r="S23" s="1">
        <f>2678.59/(R23+R24)*R23</f>
        <v>1435.7242400000002</v>
      </c>
      <c r="T23" s="1">
        <f t="shared" si="18"/>
        <v>1737.2263304000003</v>
      </c>
      <c r="U23">
        <v>6184</v>
      </c>
      <c r="W23" t="s">
        <v>3</v>
      </c>
      <c r="X23" s="2">
        <f t="shared" si="11"/>
        <v>735.88710000000003</v>
      </c>
      <c r="Y23">
        <f t="shared" si="19"/>
        <v>7.8491189860200006</v>
      </c>
      <c r="Z23" s="1">
        <f>14777.91/(Y23+Y24)*Y23</f>
        <v>7993.0155547445256</v>
      </c>
      <c r="AA23" s="1">
        <f t="shared" si="20"/>
        <v>9671.5488212408764</v>
      </c>
      <c r="AB23">
        <v>80821</v>
      </c>
    </row>
    <row r="24" spans="1:28" x14ac:dyDescent="0.25">
      <c r="A24" t="s">
        <v>4</v>
      </c>
      <c r="B24" s="2">
        <f>(F24-F23)*1.0182</f>
        <v>32.5824</v>
      </c>
      <c r="C24">
        <f t="shared" si="12"/>
        <v>0.34753039488000004</v>
      </c>
      <c r="D24" s="1">
        <f>921.27/(C23+C24)*C24</f>
        <v>421.15200000000004</v>
      </c>
      <c r="E24" s="1">
        <f t="shared" si="13"/>
        <v>509.59392000000003</v>
      </c>
      <c r="F24">
        <v>6260</v>
      </c>
      <c r="G24" s="8">
        <v>10.6662</v>
      </c>
      <c r="I24" t="s">
        <v>4</v>
      </c>
      <c r="J24" s="2">
        <f>(N24-N23)*1.0182</f>
        <v>3964.8708000000001</v>
      </c>
      <c r="K24">
        <f t="shared" si="14"/>
        <v>42.290104926960005</v>
      </c>
      <c r="L24" s="1">
        <f>83657.12/(K23+K24)*K24</f>
        <v>38734.937607609987</v>
      </c>
      <c r="M24" s="1">
        <f t="shared" si="15"/>
        <v>46869.274505208086</v>
      </c>
      <c r="N24">
        <v>54250</v>
      </c>
      <c r="P24" t="s">
        <v>4</v>
      </c>
      <c r="Q24" s="2">
        <f t="shared" si="16"/>
        <v>115.1996</v>
      </c>
      <c r="R24">
        <f t="shared" si="17"/>
        <v>1.22874197352</v>
      </c>
      <c r="S24" s="1">
        <f>2678.59/(R23+R24)*R24</f>
        <v>1242.8657600000001</v>
      </c>
      <c r="T24" s="1">
        <f t="shared" si="18"/>
        <v>1503.8675696</v>
      </c>
      <c r="U24">
        <v>6300</v>
      </c>
      <c r="W24" t="s">
        <v>4</v>
      </c>
      <c r="X24" s="2">
        <f t="shared" si="11"/>
        <v>624.65989999999999</v>
      </c>
      <c r="Y24">
        <f t="shared" si="19"/>
        <v>6.6627474253800001</v>
      </c>
      <c r="Z24" s="1">
        <f>14777.91/(Y23+Y24)*Y24</f>
        <v>6784.8944452554742</v>
      </c>
      <c r="AA24" s="1">
        <f t="shared" si="20"/>
        <v>8209.7222787591236</v>
      </c>
      <c r="AB24">
        <v>81450</v>
      </c>
    </row>
    <row r="25" spans="1:28" x14ac:dyDescent="0.25">
      <c r="A25" t="s">
        <v>5</v>
      </c>
      <c r="B25" s="2">
        <f>(F25-F24)*1.0189</f>
        <v>10.189</v>
      </c>
      <c r="C25">
        <f t="shared" si="12"/>
        <v>0.10866262829999999</v>
      </c>
      <c r="D25" s="1">
        <v>203.55</v>
      </c>
      <c r="E25" s="1">
        <f t="shared" si="13"/>
        <v>246.2955</v>
      </c>
      <c r="F25">
        <v>6270</v>
      </c>
      <c r="G25" s="8">
        <v>10.6647</v>
      </c>
      <c r="I25" t="s">
        <v>5</v>
      </c>
      <c r="J25" s="2">
        <f>(N25-N24)*1.0189</f>
        <v>580.77299999999991</v>
      </c>
      <c r="K25">
        <f t="shared" si="14"/>
        <v>6.1937698130999985</v>
      </c>
      <c r="L25" s="1">
        <v>9791.83</v>
      </c>
      <c r="M25" s="1">
        <f t="shared" si="15"/>
        <v>11848.114299999999</v>
      </c>
      <c r="N25">
        <v>54820</v>
      </c>
      <c r="P25" t="s">
        <v>5</v>
      </c>
      <c r="Q25" s="2">
        <f t="shared" si="16"/>
        <v>119.172</v>
      </c>
      <c r="R25">
        <f t="shared" si="17"/>
        <v>1.2709336283999999</v>
      </c>
      <c r="S25" s="1">
        <v>1290.1400000000001</v>
      </c>
      <c r="T25" s="1">
        <f t="shared" si="18"/>
        <v>1561.0694000000001</v>
      </c>
      <c r="U25">
        <v>6420</v>
      </c>
      <c r="W25" t="s">
        <v>5</v>
      </c>
      <c r="X25" s="2">
        <f t="shared" si="11"/>
        <v>0</v>
      </c>
      <c r="Y25">
        <f t="shared" si="19"/>
        <v>0</v>
      </c>
      <c r="Z25" s="1">
        <v>1487.95</v>
      </c>
      <c r="AA25" s="1">
        <f t="shared" si="20"/>
        <v>1800.4195</v>
      </c>
      <c r="AB25">
        <v>81450</v>
      </c>
    </row>
    <row r="26" spans="1:28" x14ac:dyDescent="0.25">
      <c r="A26" t="s">
        <v>6</v>
      </c>
      <c r="B26" s="2">
        <f>(F26-F25)*1.02</f>
        <v>15.3</v>
      </c>
      <c r="C26">
        <f t="shared" si="12"/>
        <v>0.16316379</v>
      </c>
      <c r="D26" s="1">
        <v>255.16</v>
      </c>
      <c r="E26" s="1">
        <f t="shared" si="13"/>
        <v>308.74360000000001</v>
      </c>
      <c r="F26">
        <v>6285</v>
      </c>
      <c r="G26" s="8">
        <v>10.664300000000001</v>
      </c>
      <c r="I26" t="s">
        <v>6</v>
      </c>
      <c r="J26" s="2">
        <f>(N26-N25)*1.02</f>
        <v>295.8</v>
      </c>
      <c r="K26">
        <f t="shared" si="14"/>
        <v>3.15449994</v>
      </c>
      <c r="L26" s="1">
        <v>7318.54</v>
      </c>
      <c r="M26" s="1">
        <f t="shared" si="15"/>
        <v>8855.4333999999999</v>
      </c>
      <c r="N26">
        <v>55110</v>
      </c>
      <c r="P26" t="s">
        <v>6</v>
      </c>
      <c r="Q26" s="2">
        <f t="shared" si="16"/>
        <v>0</v>
      </c>
      <c r="R26">
        <f t="shared" si="17"/>
        <v>0</v>
      </c>
      <c r="S26" s="1">
        <v>114.42</v>
      </c>
      <c r="T26" s="1">
        <f t="shared" si="18"/>
        <v>138.44819999999999</v>
      </c>
      <c r="U26">
        <v>6420</v>
      </c>
      <c r="W26" t="s">
        <v>6</v>
      </c>
      <c r="X26" s="2">
        <f t="shared" si="11"/>
        <v>0</v>
      </c>
      <c r="Y26">
        <f t="shared" si="19"/>
        <v>0</v>
      </c>
      <c r="Z26" s="1">
        <v>1507.15</v>
      </c>
      <c r="AA26" s="1">
        <f t="shared" si="20"/>
        <v>1823.6515000000002</v>
      </c>
      <c r="AB26">
        <v>81450</v>
      </c>
    </row>
    <row r="27" spans="1:28" x14ac:dyDescent="0.25">
      <c r="A27" t="s">
        <v>7</v>
      </c>
      <c r="B27" s="2">
        <f>(F27-F26)*1.0196</f>
        <v>10.196000000000002</v>
      </c>
      <c r="C27">
        <f t="shared" si="12"/>
        <v>0.10873320280000003</v>
      </c>
      <c r="D27" s="1">
        <v>203.61</v>
      </c>
      <c r="E27" s="1">
        <f t="shared" si="13"/>
        <v>246.3681</v>
      </c>
      <c r="F27">
        <v>6295</v>
      </c>
      <c r="G27" s="8">
        <v>10.664300000000001</v>
      </c>
      <c r="I27" t="s">
        <v>7</v>
      </c>
      <c r="J27" s="2">
        <f>(N27-N26)*1.0196</f>
        <v>621.95600000000002</v>
      </c>
      <c r="K27">
        <f t="shared" si="14"/>
        <v>6.6327253708000011</v>
      </c>
      <c r="L27" s="1">
        <v>10042.07</v>
      </c>
      <c r="M27" s="1">
        <f t="shared" si="15"/>
        <v>12150.904699999999</v>
      </c>
      <c r="N27">
        <v>55720</v>
      </c>
      <c r="P27" t="s">
        <v>7</v>
      </c>
      <c r="Q27" s="2">
        <f t="shared" si="16"/>
        <v>4.9654999999999996</v>
      </c>
      <c r="R27">
        <f t="shared" si="17"/>
        <v>5.2953581649999998E-2</v>
      </c>
      <c r="S27" s="1">
        <v>163.41</v>
      </c>
      <c r="T27" s="1">
        <f t="shared" si="18"/>
        <v>197.7261</v>
      </c>
      <c r="U27">
        <v>6425</v>
      </c>
      <c r="W27" t="s">
        <v>7</v>
      </c>
      <c r="X27" s="2">
        <f t="shared" si="11"/>
        <v>49.655000000000001</v>
      </c>
      <c r="Y27">
        <f t="shared" si="19"/>
        <v>0.52953581650000003</v>
      </c>
      <c r="Z27" s="1">
        <v>1965.2</v>
      </c>
      <c r="AA27" s="1">
        <f t="shared" si="20"/>
        <v>2377.8919999999998</v>
      </c>
      <c r="AB27">
        <v>81500</v>
      </c>
    </row>
    <row r="28" spans="1:28" x14ac:dyDescent="0.25">
      <c r="A28" t="s">
        <v>8</v>
      </c>
      <c r="B28" s="2">
        <f>(F28-F27)*1.0196</f>
        <v>29.5684</v>
      </c>
      <c r="C28">
        <f t="shared" si="12"/>
        <v>0.31530854708000006</v>
      </c>
      <c r="D28" s="1">
        <v>399.27</v>
      </c>
      <c r="E28" s="1">
        <f t="shared" si="13"/>
        <v>483.11669999999998</v>
      </c>
      <c r="F28">
        <v>6324</v>
      </c>
      <c r="G28" s="8">
        <v>10.6637</v>
      </c>
      <c r="I28" t="s">
        <v>8</v>
      </c>
      <c r="J28" s="2">
        <f>(N28-N27)*1.0196</f>
        <v>876.85600000000011</v>
      </c>
      <c r="K28">
        <f t="shared" si="14"/>
        <v>9.3505293272000021</v>
      </c>
      <c r="L28" s="1">
        <v>12110.78</v>
      </c>
      <c r="M28" s="1">
        <f t="shared" si="15"/>
        <v>14654.043799999999</v>
      </c>
      <c r="N28">
        <v>56580</v>
      </c>
      <c r="P28" t="s">
        <v>8</v>
      </c>
      <c r="Q28" s="2">
        <f t="shared" si="16"/>
        <v>114.20649999999999</v>
      </c>
      <c r="R28">
        <f t="shared" si="17"/>
        <v>1.21786385405</v>
      </c>
      <c r="S28" s="1">
        <v>1241.04</v>
      </c>
      <c r="T28" s="1">
        <f t="shared" si="18"/>
        <v>1501.6583999999998</v>
      </c>
      <c r="U28">
        <v>6540</v>
      </c>
      <c r="W28" t="s">
        <v>8</v>
      </c>
      <c r="X28" s="2">
        <f t="shared" si="11"/>
        <v>0.99309999999999998</v>
      </c>
      <c r="Y28">
        <f t="shared" si="19"/>
        <v>1.059012047E-2</v>
      </c>
      <c r="Z28" s="1">
        <v>1506.13</v>
      </c>
      <c r="AA28" s="1">
        <f t="shared" si="20"/>
        <v>1822.4173000000001</v>
      </c>
      <c r="AB28">
        <v>81501</v>
      </c>
    </row>
    <row r="29" spans="1:28" x14ac:dyDescent="0.25">
      <c r="A29" t="s">
        <v>9</v>
      </c>
      <c r="B29" s="2">
        <f>(F29-F28)*1.02</f>
        <v>31.62</v>
      </c>
      <c r="C29">
        <f t="shared" si="12"/>
        <v>0.33717038399999999</v>
      </c>
      <c r="D29" s="1">
        <v>419.97</v>
      </c>
      <c r="E29" s="1">
        <f t="shared" si="13"/>
        <v>508.16370000000001</v>
      </c>
      <c r="F29">
        <v>6355</v>
      </c>
      <c r="G29" s="8">
        <v>10.6632</v>
      </c>
      <c r="I29" t="s">
        <v>9</v>
      </c>
      <c r="J29" s="2">
        <f>(N29-N28)*1.02</f>
        <v>3865.8</v>
      </c>
      <c r="K29">
        <f t="shared" si="14"/>
        <v>41.221798560000003</v>
      </c>
      <c r="L29" s="1">
        <v>38090.26</v>
      </c>
      <c r="M29" s="1">
        <f t="shared" si="15"/>
        <v>46089.214599999999</v>
      </c>
      <c r="N29">
        <v>60370</v>
      </c>
      <c r="P29" t="s">
        <v>9</v>
      </c>
      <c r="Q29" s="2">
        <f t="shared" si="16"/>
        <v>139.03399999999999</v>
      </c>
      <c r="R29">
        <f t="shared" si="17"/>
        <v>1.4825473487999998</v>
      </c>
      <c r="S29" s="1">
        <v>1485.9</v>
      </c>
      <c r="T29" s="1">
        <f t="shared" si="18"/>
        <v>1797.9390000000001</v>
      </c>
      <c r="U29">
        <v>6680</v>
      </c>
      <c r="W29" t="s">
        <v>9</v>
      </c>
      <c r="X29" s="2">
        <f t="shared" si="11"/>
        <v>833.21090000000004</v>
      </c>
      <c r="Y29">
        <f t="shared" si="19"/>
        <v>8.8846944688799994</v>
      </c>
      <c r="Z29" s="1">
        <v>8651.65</v>
      </c>
      <c r="AA29" s="1">
        <f t="shared" si="20"/>
        <v>10468.496499999999</v>
      </c>
      <c r="AB29">
        <v>82340</v>
      </c>
    </row>
    <row r="30" spans="1:28" x14ac:dyDescent="0.25">
      <c r="A30" t="s">
        <v>10</v>
      </c>
      <c r="B30" s="2">
        <f>(F30-F29)*1.02</f>
        <v>59.160000000000004</v>
      </c>
      <c r="C30">
        <f t="shared" si="12"/>
        <v>0.630681096</v>
      </c>
      <c r="D30" s="1">
        <v>697.95</v>
      </c>
      <c r="E30" s="1">
        <f t="shared" si="13"/>
        <v>844.51949999999999</v>
      </c>
      <c r="F30">
        <v>6413</v>
      </c>
      <c r="G30" s="8">
        <v>10.660600000000001</v>
      </c>
      <c r="I30" t="s">
        <v>10</v>
      </c>
      <c r="J30" s="2">
        <f>(N30-N29)*1.02</f>
        <v>5283.6</v>
      </c>
      <c r="K30">
        <f t="shared" si="14"/>
        <v>56.326346160000007</v>
      </c>
      <c r="L30" s="1">
        <v>50308.72</v>
      </c>
      <c r="M30" s="1">
        <f t="shared" si="15"/>
        <v>60873.551200000002</v>
      </c>
      <c r="N30">
        <v>65550</v>
      </c>
      <c r="P30" t="s">
        <v>10</v>
      </c>
      <c r="Q30" s="2">
        <f t="shared" si="16"/>
        <v>139.03399999999999</v>
      </c>
      <c r="R30">
        <f t="shared" si="17"/>
        <v>1.4821858604</v>
      </c>
      <c r="S30" s="1">
        <v>1485.57</v>
      </c>
      <c r="T30" s="1">
        <f t="shared" si="18"/>
        <v>1797.5396999999998</v>
      </c>
      <c r="U30">
        <v>6820</v>
      </c>
      <c r="W30" t="s">
        <v>10</v>
      </c>
      <c r="X30" s="2">
        <f>(AB30-AB29)*1.02</f>
        <v>2131.8000000000002</v>
      </c>
      <c r="Y30">
        <f t="shared" si="19"/>
        <v>22.726267080000003</v>
      </c>
      <c r="Z30" s="1">
        <v>19894.310000000001</v>
      </c>
      <c r="AA30" s="1">
        <f t="shared" si="20"/>
        <v>24072.115099999999</v>
      </c>
      <c r="AB30">
        <v>84430</v>
      </c>
    </row>
    <row r="31" spans="1:28" x14ac:dyDescent="0.25">
      <c r="A31" t="s">
        <v>11</v>
      </c>
      <c r="B31" s="2">
        <f>(F31-F30)*1.0204</f>
        <v>68.366799999999998</v>
      </c>
      <c r="C31">
        <f t="shared" si="12"/>
        <v>0.72863284436000009</v>
      </c>
      <c r="D31" s="1">
        <v>790.72</v>
      </c>
      <c r="E31" s="1">
        <f t="shared" si="13"/>
        <v>956.77120000000002</v>
      </c>
      <c r="F31">
        <v>6480</v>
      </c>
      <c r="G31" s="8">
        <v>10.6577</v>
      </c>
      <c r="I31" t="s">
        <v>11</v>
      </c>
      <c r="J31" s="2">
        <f>(N31-N30)*1.0204</f>
        <v>6275.46</v>
      </c>
      <c r="K31">
        <f t="shared" si="14"/>
        <v>66.881970042000006</v>
      </c>
      <c r="L31" s="1">
        <v>58401.32</v>
      </c>
      <c r="M31" s="1">
        <f t="shared" si="15"/>
        <v>70665.597200000004</v>
      </c>
      <c r="N31">
        <v>71700</v>
      </c>
      <c r="P31" t="s">
        <v>11</v>
      </c>
      <c r="Q31" s="2">
        <f t="shared" si="16"/>
        <v>69.516999999999996</v>
      </c>
      <c r="R31">
        <f t="shared" si="17"/>
        <v>0.74089133089999992</v>
      </c>
      <c r="S31" s="1">
        <v>809.7</v>
      </c>
      <c r="T31" s="1">
        <f t="shared" si="18"/>
        <v>979.73700000000008</v>
      </c>
      <c r="U31">
        <v>6890</v>
      </c>
      <c r="W31" t="s">
        <v>11</v>
      </c>
      <c r="X31" s="2">
        <f>(AB31-AB30)*1.0204</f>
        <v>2673.4479999999999</v>
      </c>
      <c r="Y31">
        <f t="shared" si="19"/>
        <v>28.4928067496</v>
      </c>
      <c r="Z31" s="1">
        <v>24229.599999999999</v>
      </c>
      <c r="AA31" s="1">
        <f t="shared" si="20"/>
        <v>29317.815999999999</v>
      </c>
      <c r="AB31">
        <v>87050</v>
      </c>
    </row>
    <row r="32" spans="1:28" x14ac:dyDescent="0.25">
      <c r="B32" s="2">
        <f>SUM(B20:B31)</f>
        <v>469.18220000000008</v>
      </c>
      <c r="D32" s="1"/>
      <c r="E32" s="2">
        <f>SUM(E20:E31)</f>
        <v>7193.5468000000001</v>
      </c>
      <c r="G32" s="1"/>
      <c r="J32" s="2">
        <f>SUM(J20:J31)</f>
        <v>51854.463000000003</v>
      </c>
      <c r="L32" s="1"/>
      <c r="M32" s="2">
        <f>SUM(M20:M31)</f>
        <v>608670.77699999989</v>
      </c>
      <c r="Q32" s="2">
        <f>SUM(Q20:Q31)</f>
        <v>1181.789</v>
      </c>
      <c r="S32" s="1"/>
      <c r="T32" s="2">
        <f>SUM(T20:T31)</f>
        <v>15777.698199999999</v>
      </c>
      <c r="X32" s="2">
        <f>SUM(X20:X31)</f>
        <v>17139.550000000003</v>
      </c>
      <c r="Z32" s="1"/>
      <c r="AA32" s="2">
        <f>SUM(AA20:AA31)</f>
        <v>200429.10689999998</v>
      </c>
    </row>
    <row r="35" spans="1:28" x14ac:dyDescent="0.25">
      <c r="A35" t="s">
        <v>32</v>
      </c>
      <c r="D35" s="3" t="s">
        <v>31</v>
      </c>
      <c r="F35" t="s">
        <v>19</v>
      </c>
      <c r="I35" t="s">
        <v>28</v>
      </c>
      <c r="L35" s="3" t="s">
        <v>29</v>
      </c>
      <c r="N35" t="s">
        <v>19</v>
      </c>
      <c r="P35" t="s">
        <v>34</v>
      </c>
      <c r="S35" s="3" t="s">
        <v>33</v>
      </c>
      <c r="U35" t="s">
        <v>19</v>
      </c>
      <c r="W35" t="s">
        <v>36</v>
      </c>
      <c r="Z35" s="3" t="s">
        <v>35</v>
      </c>
      <c r="AB35" t="s">
        <v>19</v>
      </c>
    </row>
    <row r="36" spans="1:28" x14ac:dyDescent="0.25">
      <c r="A36">
        <v>2020</v>
      </c>
      <c r="B36" t="s">
        <v>15</v>
      </c>
      <c r="C36" t="s">
        <v>12</v>
      </c>
      <c r="D36" t="s">
        <v>13</v>
      </c>
      <c r="E36" t="s">
        <v>14</v>
      </c>
      <c r="F36" s="2">
        <f>F31</f>
        <v>6480</v>
      </c>
      <c r="G36" t="s">
        <v>30</v>
      </c>
      <c r="I36">
        <f>A36</f>
        <v>2020</v>
      </c>
      <c r="J36" t="s">
        <v>15</v>
      </c>
      <c r="K36" t="s">
        <v>12</v>
      </c>
      <c r="L36" t="s">
        <v>13</v>
      </c>
      <c r="M36" t="s">
        <v>14</v>
      </c>
      <c r="N36" s="2">
        <f>N31</f>
        <v>71700</v>
      </c>
      <c r="P36">
        <f>I36</f>
        <v>2020</v>
      </c>
      <c r="Q36" t="s">
        <v>15</v>
      </c>
      <c r="R36" t="s">
        <v>12</v>
      </c>
      <c r="S36" t="s">
        <v>13</v>
      </c>
      <c r="T36" t="s">
        <v>14</v>
      </c>
      <c r="U36" s="2">
        <f>U31</f>
        <v>6890</v>
      </c>
      <c r="W36">
        <f>P36</f>
        <v>2020</v>
      </c>
      <c r="X36" t="s">
        <v>15</v>
      </c>
      <c r="Y36" t="s">
        <v>12</v>
      </c>
      <c r="Z36" t="s">
        <v>13</v>
      </c>
      <c r="AA36" t="s">
        <v>14</v>
      </c>
      <c r="AB36" s="2">
        <f>AB31</f>
        <v>87050</v>
      </c>
    </row>
    <row r="37" spans="1:28" x14ac:dyDescent="0.25">
      <c r="A37" t="s">
        <v>0</v>
      </c>
      <c r="B37" s="2">
        <f>(F37-F36)*1.0196</f>
        <v>82.587600000000009</v>
      </c>
      <c r="C37">
        <f>B37*G37/1000</f>
        <v>0.88011127692000013</v>
      </c>
      <c r="D37" s="1">
        <v>821.62</v>
      </c>
      <c r="E37" s="1">
        <f>D37*1.21</f>
        <v>994.16020000000003</v>
      </c>
      <c r="F37" s="2">
        <v>6561</v>
      </c>
      <c r="G37" s="8">
        <v>10.656700000000001</v>
      </c>
      <c r="I37" t="s">
        <v>0</v>
      </c>
      <c r="J37" s="2">
        <f>(N37-N36)*1.0196</f>
        <v>8646.2080000000005</v>
      </c>
      <c r="K37">
        <f>J37*G37/1000</f>
        <v>92.140044793600012</v>
      </c>
      <c r="L37" s="1">
        <v>66558.11</v>
      </c>
      <c r="M37" s="1">
        <f>L37*1.21</f>
        <v>80535.313099999999</v>
      </c>
      <c r="N37" s="2">
        <v>80180</v>
      </c>
      <c r="P37" t="s">
        <v>0</v>
      </c>
      <c r="Q37" s="2">
        <f>(U37-U36)*0.9931</f>
        <v>106.2617</v>
      </c>
      <c r="R37">
        <f>Q37*G37/1000</f>
        <v>1.1323990583900001</v>
      </c>
      <c r="S37" s="1">
        <v>1016.32</v>
      </c>
      <c r="T37" s="1">
        <f>S37*1.21</f>
        <v>1229.7472</v>
      </c>
      <c r="U37" s="2">
        <v>6997</v>
      </c>
      <c r="W37" t="s">
        <v>0</v>
      </c>
      <c r="X37" s="2">
        <f>(AB37-AB36)*1.0196</f>
        <v>3711.3440000000001</v>
      </c>
      <c r="Y37">
        <f>X37*G37/1000</f>
        <v>39.550679604800003</v>
      </c>
      <c r="Z37" s="1">
        <v>28092.76</v>
      </c>
      <c r="AA37" s="1">
        <f>Z37*1.21</f>
        <v>33992.239599999994</v>
      </c>
      <c r="AB37" s="2">
        <v>90690</v>
      </c>
    </row>
    <row r="38" spans="1:28" x14ac:dyDescent="0.25">
      <c r="A38" t="s">
        <v>1</v>
      </c>
      <c r="B38" s="2">
        <f>(F38-F37)*1.0196</f>
        <v>65.254400000000004</v>
      </c>
      <c r="C38">
        <f t="shared" ref="C38:C48" si="21">B38*G38/1000</f>
        <v>0.69508986880000001</v>
      </c>
      <c r="D38" s="1">
        <v>670.11</v>
      </c>
      <c r="E38" s="1">
        <f t="shared" ref="E38:E48" si="22">D38*1.21</f>
        <v>810.83309999999994</v>
      </c>
      <c r="F38">
        <v>6625</v>
      </c>
      <c r="G38" s="8">
        <v>10.651999999999999</v>
      </c>
      <c r="I38" t="s">
        <v>1</v>
      </c>
      <c r="J38" s="2">
        <f>(N38-N37)*1.0196</f>
        <v>6770.1440000000002</v>
      </c>
      <c r="K38">
        <f t="shared" ref="K38:K48" si="23">J38*G38/1000</f>
        <v>72.115573888</v>
      </c>
      <c r="L38" s="1">
        <v>52924.81</v>
      </c>
      <c r="M38" s="1">
        <f t="shared" ref="M38:M48" si="24">L38*1.21</f>
        <v>64039.020099999994</v>
      </c>
      <c r="N38">
        <v>86820</v>
      </c>
      <c r="P38" t="s">
        <v>1</v>
      </c>
      <c r="Q38" s="2">
        <f t="shared" ref="Q38:Q48" si="25">(U38-U37)*0.9931</f>
        <v>146.97880000000001</v>
      </c>
      <c r="R38">
        <f t="shared" ref="R38:R48" si="26">Q38*G38/1000</f>
        <v>1.5656181775999998</v>
      </c>
      <c r="S38" s="1">
        <v>1361.26</v>
      </c>
      <c r="T38" s="1">
        <f t="shared" ref="T38:T48" si="27">S38*1.21</f>
        <v>1647.1245999999999</v>
      </c>
      <c r="U38">
        <v>7145</v>
      </c>
      <c r="W38" t="s">
        <v>1</v>
      </c>
      <c r="X38" s="2">
        <f>(AB38-AB37)*1.0196</f>
        <v>2380.7660000000001</v>
      </c>
      <c r="Y38">
        <f t="shared" ref="Y38:Y48" si="28">X38*G38/1000</f>
        <v>25.359919431999998</v>
      </c>
      <c r="Z38" s="1">
        <v>18468.150000000001</v>
      </c>
      <c r="AA38" s="1">
        <f t="shared" ref="AA38:AA48" si="29">Z38*1.21</f>
        <v>22346.461500000001</v>
      </c>
      <c r="AB38">
        <v>93025</v>
      </c>
    </row>
    <row r="39" spans="1:28" x14ac:dyDescent="0.25">
      <c r="A39" t="s">
        <v>2</v>
      </c>
      <c r="B39" s="2">
        <f>(F39-F38)*1.0189</f>
        <v>86.606499999999997</v>
      </c>
      <c r="C39">
        <f t="shared" si="21"/>
        <v>0.92240252824999991</v>
      </c>
      <c r="D39" s="1">
        <v>856.25</v>
      </c>
      <c r="E39" s="1">
        <f t="shared" si="22"/>
        <v>1036.0625</v>
      </c>
      <c r="F39">
        <v>6710</v>
      </c>
      <c r="G39" s="8">
        <v>10.650499999999999</v>
      </c>
      <c r="I39" t="s">
        <v>2</v>
      </c>
      <c r="J39" s="2">
        <f>(N39-N38)*1.0189</f>
        <v>3005.7549999999997</v>
      </c>
      <c r="K39">
        <f t="shared" si="23"/>
        <v>32.012793627499995</v>
      </c>
      <c r="L39" s="1">
        <v>25207.83</v>
      </c>
      <c r="M39" s="1">
        <f t="shared" si="24"/>
        <v>30501.474300000002</v>
      </c>
      <c r="N39">
        <v>89770</v>
      </c>
      <c r="P39" t="s">
        <v>2</v>
      </c>
      <c r="Q39" s="2">
        <f t="shared" si="25"/>
        <v>29.792999999999999</v>
      </c>
      <c r="R39">
        <f t="shared" si="26"/>
        <v>0.31731034650000001</v>
      </c>
      <c r="S39" s="1">
        <v>367.34</v>
      </c>
      <c r="T39" s="1">
        <f t="shared" si="27"/>
        <v>444.48139999999995</v>
      </c>
      <c r="U39">
        <v>7175</v>
      </c>
      <c r="W39" t="s">
        <v>2</v>
      </c>
      <c r="X39" s="2">
        <f>(AB39-AB38)*1.0189</f>
        <v>1156.4514999999999</v>
      </c>
      <c r="Y39">
        <f t="shared" si="28"/>
        <v>12.316786700749997</v>
      </c>
      <c r="Z39" s="1">
        <v>9603.39</v>
      </c>
      <c r="AA39" s="1">
        <f t="shared" si="29"/>
        <v>11620.1019</v>
      </c>
      <c r="AB39">
        <v>94160</v>
      </c>
    </row>
    <row r="40" spans="1:28" x14ac:dyDescent="0.25">
      <c r="A40" t="s">
        <v>3</v>
      </c>
      <c r="B40" s="2">
        <f>(F40-F39)*1.0175</f>
        <v>68.172499999999999</v>
      </c>
      <c r="C40">
        <f t="shared" si="21"/>
        <v>0.72611211474999993</v>
      </c>
      <c r="D40" s="1">
        <v>695.51</v>
      </c>
      <c r="E40" s="1">
        <f t="shared" si="22"/>
        <v>841.56709999999998</v>
      </c>
      <c r="F40">
        <v>6777</v>
      </c>
      <c r="G40" s="8">
        <v>10.6511</v>
      </c>
      <c r="I40" t="s">
        <v>3</v>
      </c>
      <c r="J40" s="2">
        <f>(N40-N39)*1.0175</f>
        <v>722.42500000000007</v>
      </c>
      <c r="K40">
        <f t="shared" si="23"/>
        <v>7.6946209175</v>
      </c>
      <c r="L40" s="1">
        <v>8505.51</v>
      </c>
      <c r="M40" s="1">
        <f t="shared" si="24"/>
        <v>10291.667100000001</v>
      </c>
      <c r="N40">
        <v>90480</v>
      </c>
      <c r="P40" t="s">
        <v>3</v>
      </c>
      <c r="Q40" s="2">
        <f t="shared" si="25"/>
        <v>24.827500000000001</v>
      </c>
      <c r="R40">
        <f t="shared" si="26"/>
        <v>0.26444018525000001</v>
      </c>
      <c r="S40" s="1">
        <v>325.26</v>
      </c>
      <c r="T40" s="1">
        <f t="shared" si="27"/>
        <v>393.56459999999998</v>
      </c>
      <c r="U40">
        <v>7200</v>
      </c>
      <c r="W40" t="s">
        <v>3</v>
      </c>
      <c r="X40" s="2">
        <f>(AB40-AB39)*1.0175</f>
        <v>10.175000000000001</v>
      </c>
      <c r="Y40">
        <f t="shared" si="28"/>
        <v>0.1083749425</v>
      </c>
      <c r="Z40" s="1">
        <v>1238</v>
      </c>
      <c r="AA40" s="1">
        <f t="shared" si="29"/>
        <v>1497.98</v>
      </c>
      <c r="AB40">
        <v>94170</v>
      </c>
    </row>
    <row r="41" spans="1:28" x14ac:dyDescent="0.25">
      <c r="A41" t="s">
        <v>4</v>
      </c>
      <c r="B41" s="2">
        <f>(F41-F40)*1.0182</f>
        <v>67.2012</v>
      </c>
      <c r="C41">
        <f t="shared" si="21"/>
        <v>0.715860783</v>
      </c>
      <c r="D41" s="1">
        <f>21.91+179.61+100.89+1.73+382.99</f>
        <v>687.13000000000011</v>
      </c>
      <c r="E41" s="1">
        <f t="shared" si="22"/>
        <v>831.42730000000006</v>
      </c>
      <c r="F41">
        <v>6843</v>
      </c>
      <c r="G41" s="8">
        <v>10.6525</v>
      </c>
      <c r="I41" t="s">
        <v>4</v>
      </c>
      <c r="J41" s="2">
        <f>(N41-N40)*1.0182</f>
        <v>733.10400000000004</v>
      </c>
      <c r="K41">
        <f t="shared" si="23"/>
        <v>7.8093903600000001</v>
      </c>
      <c r="L41" s="1">
        <v>8487.2000000000007</v>
      </c>
      <c r="M41" s="1">
        <f t="shared" si="24"/>
        <v>10269.512000000001</v>
      </c>
      <c r="N41">
        <v>91200</v>
      </c>
      <c r="P41" t="s">
        <v>4</v>
      </c>
      <c r="Q41" s="2">
        <f t="shared" si="25"/>
        <v>0.99309999999999998</v>
      </c>
      <c r="R41">
        <f t="shared" si="26"/>
        <v>1.0578997749999999E-2</v>
      </c>
      <c r="S41" s="1">
        <v>123.12</v>
      </c>
      <c r="T41" s="1">
        <f t="shared" si="27"/>
        <v>148.9752</v>
      </c>
      <c r="U41">
        <v>7201</v>
      </c>
      <c r="W41" t="s">
        <v>4</v>
      </c>
      <c r="X41" s="2">
        <f>(AB41-AB40)*1.0182</f>
        <v>1.0182</v>
      </c>
      <c r="Y41">
        <f t="shared" si="28"/>
        <v>1.08463755E-2</v>
      </c>
      <c r="Z41" s="1">
        <v>1114.04</v>
      </c>
      <c r="AA41" s="1">
        <f t="shared" si="29"/>
        <v>1347.9884</v>
      </c>
      <c r="AB41">
        <v>94171</v>
      </c>
    </row>
    <row r="42" spans="1:28" x14ac:dyDescent="0.25">
      <c r="A42" t="s">
        <v>5</v>
      </c>
      <c r="B42" s="2">
        <f>(F42-F41)*1.0182</f>
        <v>22.400400000000001</v>
      </c>
      <c r="C42">
        <f t="shared" si="21"/>
        <v>0.23866282176000003</v>
      </c>
      <c r="D42" s="1">
        <v>157</v>
      </c>
      <c r="E42" s="1">
        <f t="shared" si="22"/>
        <v>189.97</v>
      </c>
      <c r="F42">
        <v>6865</v>
      </c>
      <c r="G42" s="8">
        <v>10.654400000000001</v>
      </c>
      <c r="I42" t="s">
        <v>5</v>
      </c>
      <c r="J42" s="2">
        <f>(N42-N41)*1.0182</f>
        <v>672.01199999999994</v>
      </c>
      <c r="K42">
        <f t="shared" si="23"/>
        <v>7.1598846527999997</v>
      </c>
      <c r="L42" s="1">
        <v>8055.87</v>
      </c>
      <c r="M42" s="1">
        <f t="shared" si="24"/>
        <v>9747.6026999999995</v>
      </c>
      <c r="N42">
        <v>91860</v>
      </c>
      <c r="P42" t="s">
        <v>5</v>
      </c>
      <c r="Q42" s="2">
        <f t="shared" si="25"/>
        <v>3.9723999999999999</v>
      </c>
      <c r="R42">
        <f t="shared" si="26"/>
        <v>4.2323538560000006E-2</v>
      </c>
      <c r="S42" s="1">
        <v>148.38999999999999</v>
      </c>
      <c r="T42" s="1">
        <f t="shared" si="27"/>
        <v>179.55189999999999</v>
      </c>
      <c r="U42">
        <v>7205</v>
      </c>
      <c r="W42" t="s">
        <v>5</v>
      </c>
      <c r="X42" s="2">
        <f>(AB42-AB41)*1.0182</f>
        <v>691.3578</v>
      </c>
      <c r="Y42">
        <f t="shared" si="28"/>
        <v>7.3660025443200006</v>
      </c>
      <c r="Z42" s="1">
        <v>6155.65</v>
      </c>
      <c r="AA42" s="1">
        <f t="shared" si="29"/>
        <v>7448.3364999999994</v>
      </c>
      <c r="AB42">
        <v>94850</v>
      </c>
    </row>
    <row r="43" spans="1:28" x14ac:dyDescent="0.25">
      <c r="A43" t="s">
        <v>6</v>
      </c>
      <c r="B43" s="2">
        <f>(F43-F42)*1.0182</f>
        <v>1501.845</v>
      </c>
      <c r="C43">
        <f t="shared" si="21"/>
        <v>16.003510135500001</v>
      </c>
      <c r="D43" s="1">
        <v>12553.74</v>
      </c>
      <c r="E43" s="1">
        <f t="shared" si="22"/>
        <v>15190.025399999999</v>
      </c>
      <c r="F43">
        <v>8340</v>
      </c>
      <c r="G43" s="8">
        <v>10.655900000000001</v>
      </c>
      <c r="I43" t="s">
        <v>6</v>
      </c>
      <c r="J43" s="2">
        <f>(N43-N42)*1.0182</f>
        <v>218.91300000000001</v>
      </c>
      <c r="K43">
        <f t="shared" si="23"/>
        <v>2.3327150367000002</v>
      </c>
      <c r="L43" s="1">
        <v>4769.04</v>
      </c>
      <c r="M43" s="1">
        <f t="shared" si="24"/>
        <v>5770.5383999999995</v>
      </c>
      <c r="N43">
        <v>92075</v>
      </c>
      <c r="P43" t="s">
        <v>6</v>
      </c>
      <c r="Q43" s="2">
        <f t="shared" si="25"/>
        <v>0.99309999999999998</v>
      </c>
      <c r="R43">
        <f t="shared" si="26"/>
        <v>1.058237429E-2</v>
      </c>
      <c r="S43" s="1">
        <v>109.55</v>
      </c>
      <c r="T43" s="1">
        <f t="shared" si="27"/>
        <v>132.55549999999999</v>
      </c>
      <c r="U43">
        <v>7206</v>
      </c>
      <c r="W43" t="s">
        <v>6</v>
      </c>
      <c r="X43" s="2">
        <f>(AB43-AB42)*1.0182</f>
        <v>2.0364</v>
      </c>
      <c r="Y43">
        <f t="shared" si="28"/>
        <v>2.1699674759999999E-2</v>
      </c>
      <c r="Z43" s="1">
        <v>1198.4000000000001</v>
      </c>
      <c r="AA43" s="1">
        <f t="shared" si="29"/>
        <v>1450.0640000000001</v>
      </c>
      <c r="AB43">
        <v>94852</v>
      </c>
    </row>
    <row r="44" spans="1:28" x14ac:dyDescent="0.25">
      <c r="A44" t="s">
        <v>7</v>
      </c>
      <c r="B44" s="2">
        <f>(F44-F43)*1.0185</f>
        <v>0</v>
      </c>
      <c r="C44">
        <f t="shared" si="21"/>
        <v>0</v>
      </c>
      <c r="D44" s="1">
        <v>139.33000000000001</v>
      </c>
      <c r="E44" s="1">
        <f t="shared" si="22"/>
        <v>168.58930000000001</v>
      </c>
      <c r="F44">
        <v>8340</v>
      </c>
      <c r="G44" s="8">
        <v>10.656700000000001</v>
      </c>
      <c r="I44" t="s">
        <v>7</v>
      </c>
      <c r="J44" s="2">
        <f>(N44-N43)*1.0185</f>
        <v>274.995</v>
      </c>
      <c r="K44">
        <f t="shared" si="23"/>
        <v>2.9305392165000002</v>
      </c>
      <c r="L44" s="1">
        <v>5001.68</v>
      </c>
      <c r="M44" s="1">
        <f t="shared" si="24"/>
        <v>6052.0328</v>
      </c>
      <c r="N44">
        <v>92345</v>
      </c>
      <c r="P44" t="s">
        <v>7</v>
      </c>
      <c r="Q44" s="2">
        <f t="shared" si="25"/>
        <v>0</v>
      </c>
      <c r="R44">
        <f t="shared" si="26"/>
        <v>0</v>
      </c>
      <c r="S44" s="1">
        <v>100.89</v>
      </c>
      <c r="T44" s="1">
        <f t="shared" si="27"/>
        <v>122.07689999999999</v>
      </c>
      <c r="U44">
        <v>7206</v>
      </c>
      <c r="W44" t="s">
        <v>7</v>
      </c>
      <c r="X44" s="2">
        <f>(AB44-AB43)*1.0185</f>
        <v>0</v>
      </c>
      <c r="Y44">
        <f t="shared" si="28"/>
        <v>0</v>
      </c>
      <c r="Z44" s="1">
        <v>1174.05</v>
      </c>
      <c r="AA44" s="1">
        <f t="shared" si="29"/>
        <v>1420.6005</v>
      </c>
      <c r="AB44">
        <v>94852</v>
      </c>
    </row>
    <row r="45" spans="1:28" x14ac:dyDescent="0.25">
      <c r="A45" t="s">
        <v>8</v>
      </c>
      <c r="B45" s="2">
        <f>(F45-F44)*1.0185</f>
        <v>0</v>
      </c>
      <c r="C45">
        <f t="shared" si="21"/>
        <v>0</v>
      </c>
      <c r="D45" s="1">
        <v>198.95</v>
      </c>
      <c r="E45" s="1">
        <f t="shared" si="22"/>
        <v>240.72949999999997</v>
      </c>
      <c r="F45">
        <v>8340</v>
      </c>
      <c r="G45" s="8">
        <v>10.658799999999999</v>
      </c>
      <c r="I45" t="s">
        <v>8</v>
      </c>
      <c r="J45" s="2">
        <f>(N45-N44)*1.0185</f>
        <v>931.92750000000001</v>
      </c>
      <c r="K45">
        <f t="shared" si="23"/>
        <v>9.9332288369999979</v>
      </c>
      <c r="L45" s="1">
        <v>9601.91</v>
      </c>
      <c r="M45" s="1">
        <f t="shared" si="24"/>
        <v>11618.311099999999</v>
      </c>
      <c r="N45">
        <v>93260</v>
      </c>
      <c r="P45" t="s">
        <v>8</v>
      </c>
      <c r="Q45" s="2">
        <f t="shared" si="25"/>
        <v>123.1444</v>
      </c>
      <c r="R45">
        <f t="shared" si="26"/>
        <v>1.3125715307200001</v>
      </c>
      <c r="S45" s="1">
        <v>1175.75</v>
      </c>
      <c r="T45" s="1">
        <f t="shared" si="27"/>
        <v>1422.6575</v>
      </c>
      <c r="U45">
        <v>7330</v>
      </c>
      <c r="W45" t="s">
        <v>8</v>
      </c>
      <c r="X45" s="2">
        <f>(AB45-AB44)*1.0185</f>
        <v>0</v>
      </c>
      <c r="Y45">
        <f t="shared" si="28"/>
        <v>0</v>
      </c>
      <c r="Z45" s="1">
        <v>1077.81</v>
      </c>
      <c r="AA45" s="1">
        <f t="shared" si="29"/>
        <v>1304.1500999999998</v>
      </c>
      <c r="AB45">
        <v>94852</v>
      </c>
    </row>
    <row r="46" spans="1:28" x14ac:dyDescent="0.25">
      <c r="A46" t="s">
        <v>9</v>
      </c>
      <c r="B46" s="2">
        <f>(F46-F45)*1.0185</f>
        <v>0</v>
      </c>
      <c r="C46">
        <f t="shared" si="21"/>
        <v>0</v>
      </c>
      <c r="D46" s="1">
        <v>198.95</v>
      </c>
      <c r="E46" s="1">
        <f t="shared" si="22"/>
        <v>240.72949999999997</v>
      </c>
      <c r="F46">
        <v>8340</v>
      </c>
      <c r="G46" s="8">
        <v>10.6602</v>
      </c>
      <c r="I46" t="s">
        <v>9</v>
      </c>
      <c r="J46" s="2">
        <f>(N46-N45)*1.0185</f>
        <v>1517.5650000000001</v>
      </c>
      <c r="K46">
        <f t="shared" si="23"/>
        <v>16.177546413000002</v>
      </c>
      <c r="L46" s="1">
        <v>13668.01</v>
      </c>
      <c r="M46" s="1">
        <f t="shared" si="24"/>
        <v>16538.292099999999</v>
      </c>
      <c r="N46">
        <v>94750</v>
      </c>
      <c r="P46" t="s">
        <v>9</v>
      </c>
      <c r="Q46" s="2">
        <f t="shared" si="25"/>
        <v>44.689500000000002</v>
      </c>
      <c r="R46">
        <f t="shared" si="26"/>
        <v>0.4763990079</v>
      </c>
      <c r="S46" s="1">
        <v>491.02</v>
      </c>
      <c r="T46" s="1">
        <f t="shared" si="27"/>
        <v>594.13419999999996</v>
      </c>
      <c r="U46">
        <v>7375</v>
      </c>
      <c r="W46" t="s">
        <v>9</v>
      </c>
      <c r="X46" s="2">
        <f>(AB46-AB45)*1.0185</f>
        <v>0</v>
      </c>
      <c r="Y46">
        <f t="shared" si="28"/>
        <v>0</v>
      </c>
      <c r="Z46" s="1">
        <v>914.22</v>
      </c>
      <c r="AA46" s="1">
        <f t="shared" si="29"/>
        <v>1106.2062000000001</v>
      </c>
      <c r="AB46">
        <v>94852</v>
      </c>
    </row>
    <row r="47" spans="1:28" x14ac:dyDescent="0.25">
      <c r="A47" t="s">
        <v>10</v>
      </c>
      <c r="B47" s="2">
        <f>7.13+1357.66</f>
        <v>1364.7900000000002</v>
      </c>
      <c r="C47">
        <v>14.55603</v>
      </c>
      <c r="D47" s="1">
        <v>11411.09</v>
      </c>
      <c r="E47" s="1">
        <f t="shared" si="22"/>
        <v>13807.418900000001</v>
      </c>
      <c r="F47">
        <v>8340</v>
      </c>
      <c r="G47" s="8">
        <v>10.6654</v>
      </c>
      <c r="I47" t="s">
        <v>10</v>
      </c>
      <c r="J47" s="2">
        <f>(N47-N46)*1.0185</f>
        <v>5601.75</v>
      </c>
      <c r="K47">
        <f t="shared" si="23"/>
        <v>59.74490445</v>
      </c>
      <c r="L47" s="1">
        <v>43376.25</v>
      </c>
      <c r="M47" s="1">
        <f t="shared" si="24"/>
        <v>52485.262499999997</v>
      </c>
      <c r="N47">
        <v>100250</v>
      </c>
      <c r="P47" t="s">
        <v>10</v>
      </c>
      <c r="Q47" s="2">
        <f t="shared" si="25"/>
        <v>14.8965</v>
      </c>
      <c r="R47">
        <f t="shared" si="26"/>
        <v>0.15887713109999999</v>
      </c>
      <c r="S47" s="1">
        <v>230.99</v>
      </c>
      <c r="T47" s="1">
        <f t="shared" si="27"/>
        <v>279.49790000000002</v>
      </c>
      <c r="U47">
        <v>7390</v>
      </c>
      <c r="W47" t="s">
        <v>10</v>
      </c>
      <c r="X47" s="2">
        <v>530.64</v>
      </c>
      <c r="Y47">
        <f t="shared" si="28"/>
        <v>5.6594878560000001</v>
      </c>
      <c r="Z47" s="1">
        <v>4625.62</v>
      </c>
      <c r="AA47" s="1">
        <f t="shared" si="29"/>
        <v>5597.0001999999995</v>
      </c>
      <c r="AB47">
        <v>94852</v>
      </c>
    </row>
    <row r="48" spans="1:28" x14ac:dyDescent="0.25">
      <c r="A48" t="s">
        <v>11</v>
      </c>
      <c r="B48" s="2">
        <v>38.700000000000003</v>
      </c>
      <c r="C48">
        <f t="shared" si="21"/>
        <v>0.41294448000000006</v>
      </c>
      <c r="D48" s="1">
        <v>439.09</v>
      </c>
      <c r="E48" s="1">
        <f t="shared" si="22"/>
        <v>531.2989</v>
      </c>
      <c r="G48" s="8">
        <v>10.670400000000001</v>
      </c>
      <c r="I48" t="s">
        <v>11</v>
      </c>
      <c r="J48" s="2">
        <f>(N48-N47)*1.0185</f>
        <v>6467.4749999999995</v>
      </c>
      <c r="K48">
        <f t="shared" si="23"/>
        <v>69.010545239999999</v>
      </c>
      <c r="L48" s="1">
        <v>49267.41</v>
      </c>
      <c r="M48" s="1">
        <f t="shared" si="24"/>
        <v>59613.566100000004</v>
      </c>
      <c r="N48">
        <v>106600</v>
      </c>
      <c r="P48" t="s">
        <v>11</v>
      </c>
      <c r="Q48" s="2">
        <f t="shared" si="25"/>
        <v>39.723999999999997</v>
      </c>
      <c r="R48">
        <f t="shared" si="26"/>
        <v>0.42387096959999998</v>
      </c>
      <c r="S48" s="1">
        <v>448</v>
      </c>
      <c r="T48" s="1">
        <f t="shared" si="27"/>
        <v>542.07999999999993</v>
      </c>
      <c r="U48">
        <v>7430</v>
      </c>
      <c r="W48" t="s">
        <v>11</v>
      </c>
      <c r="X48" s="2">
        <f>(AB48-AB47)*1.0185</f>
        <v>761.83799999999997</v>
      </c>
      <c r="Y48">
        <f t="shared" si="28"/>
        <v>8.1291161952</v>
      </c>
      <c r="Z48" s="1">
        <v>6265.95</v>
      </c>
      <c r="AA48" s="1">
        <f t="shared" si="29"/>
        <v>7581.7994999999992</v>
      </c>
      <c r="AB48">
        <v>95600</v>
      </c>
    </row>
    <row r="49" spans="1:27" x14ac:dyDescent="0.25">
      <c r="B49" s="2">
        <f>SUM(B37:B48)</f>
        <v>3297.5576000000001</v>
      </c>
      <c r="D49" s="1"/>
      <c r="E49" s="2">
        <f>SUM(E37:E48)</f>
        <v>34882.811699999998</v>
      </c>
      <c r="G49" s="1"/>
      <c r="J49" s="2">
        <f>SUM(J37:J48)</f>
        <v>35562.273499999996</v>
      </c>
      <c r="L49" s="1"/>
      <c r="M49" s="2">
        <f>SUM(M37:M48)</f>
        <v>357462.5922999999</v>
      </c>
      <c r="Q49" s="2">
        <f>SUM(Q37:Q48)</f>
        <v>536.27400000000011</v>
      </c>
      <c r="S49" s="1"/>
      <c r="T49" s="2">
        <f>SUM(T37:T48)</f>
        <v>7136.4469000000008</v>
      </c>
      <c r="X49" s="2">
        <f>SUM(X37:X48)</f>
        <v>9245.6269000000011</v>
      </c>
      <c r="Z49" s="1"/>
      <c r="AA49" s="2">
        <f>SUM(AA37:AA48)</f>
        <v>96712.928399999975</v>
      </c>
    </row>
    <row r="52" spans="1:27" x14ac:dyDescent="0.25">
      <c r="B52" t="s">
        <v>47</v>
      </c>
      <c r="E52" t="s">
        <v>48</v>
      </c>
      <c r="H52" t="s">
        <v>49</v>
      </c>
    </row>
    <row r="53" spans="1:27" x14ac:dyDescent="0.25">
      <c r="B53" t="s">
        <v>15</v>
      </c>
      <c r="C53" t="s">
        <v>14</v>
      </c>
      <c r="E53" t="s">
        <v>15</v>
      </c>
      <c r="F53" t="s">
        <v>14</v>
      </c>
      <c r="H53" t="s">
        <v>15</v>
      </c>
      <c r="I53" t="s">
        <v>14</v>
      </c>
    </row>
    <row r="54" spans="1:27" x14ac:dyDescent="0.25">
      <c r="A54">
        <v>2018</v>
      </c>
      <c r="B54" s="2">
        <f>B15+J15+Q15+X15</f>
        <v>71435.959000000003</v>
      </c>
      <c r="C54" s="2">
        <f>E15+M15+T15+AA15</f>
        <v>667724.80378926476</v>
      </c>
      <c r="E54" s="2">
        <f>'ZP střední odběr'!B51</f>
        <v>64053.465000000004</v>
      </c>
      <c r="F54" s="2">
        <f>'ZP střední odběr'!C51</f>
        <v>643705.50158416736</v>
      </c>
      <c r="H54" s="2">
        <f>E54+B54</f>
        <v>135489.424</v>
      </c>
      <c r="I54" s="1">
        <f>F54+C54</f>
        <v>1311430.3053734321</v>
      </c>
    </row>
    <row r="55" spans="1:27" x14ac:dyDescent="0.25">
      <c r="A55">
        <v>2019</v>
      </c>
      <c r="B55" s="2">
        <f>B32+J32+Q32+X32</f>
        <v>70644.984200000006</v>
      </c>
      <c r="C55" s="2">
        <f>E32+M32+T32+AA32</f>
        <v>832071.12889999989</v>
      </c>
      <c r="E55" s="2">
        <f>'ZP střední odběr'!B52</f>
        <v>62549.140499999994</v>
      </c>
      <c r="F55" s="2">
        <f>'ZP střední odběr'!C52</f>
        <v>765055.41658641619</v>
      </c>
      <c r="H55" s="2">
        <f>E55+B55</f>
        <v>133194.12469999999</v>
      </c>
      <c r="I55" s="1">
        <f t="shared" ref="H55:I56" si="30">F55+C55</f>
        <v>1597126.5454864162</v>
      </c>
    </row>
    <row r="56" spans="1:27" x14ac:dyDescent="0.25">
      <c r="A56">
        <v>2020</v>
      </c>
      <c r="B56" s="2">
        <f>B49+J49+Q49+X49</f>
        <v>48641.731999999996</v>
      </c>
      <c r="C56" s="2">
        <f>E49+M49+T49+AA49</f>
        <v>496194.77929999988</v>
      </c>
      <c r="E56" s="2">
        <f>'ZP střední odběr'!B53</f>
        <v>49703.818500000001</v>
      </c>
      <c r="F56" s="2">
        <f>'ZP střední odběr'!C53</f>
        <v>564062.33102196769</v>
      </c>
      <c r="H56" s="2">
        <f t="shared" si="30"/>
        <v>98345.550499999998</v>
      </c>
      <c r="I56" s="1">
        <f t="shared" si="30"/>
        <v>1060257.1103219676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7"/>
  <sheetViews>
    <sheetView topLeftCell="A17" workbookViewId="0">
      <selection activeCell="K23" sqref="K23:K28"/>
    </sheetView>
  </sheetViews>
  <sheetFormatPr defaultRowHeight="15" x14ac:dyDescent="0.25"/>
  <cols>
    <col min="1" max="1" width="11.5703125" customWidth="1"/>
    <col min="3" max="3" width="13.5703125" bestFit="1" customWidth="1"/>
    <col min="6" max="6" width="16.5703125" bestFit="1" customWidth="1"/>
    <col min="9" max="9" width="16.5703125" bestFit="1" customWidth="1"/>
    <col min="12" max="12" width="16.5703125" bestFit="1" customWidth="1"/>
    <col min="14" max="14" width="10.7109375" bestFit="1" customWidth="1"/>
    <col min="15" max="15" width="10" bestFit="1" customWidth="1"/>
    <col min="16" max="16" width="10" customWidth="1"/>
    <col min="20" max="20" width="10" bestFit="1" customWidth="1"/>
    <col min="23" max="23" width="10.7109375" bestFit="1" customWidth="1"/>
    <col min="24" max="24" width="10" bestFit="1" customWidth="1"/>
    <col min="29" max="29" width="10" bestFit="1" customWidth="1"/>
  </cols>
  <sheetData>
    <row r="1" spans="1:29" x14ac:dyDescent="0.25">
      <c r="A1" t="s">
        <v>40</v>
      </c>
      <c r="C1" s="3" t="s">
        <v>41</v>
      </c>
      <c r="D1" t="s">
        <v>19</v>
      </c>
      <c r="F1" s="3" t="s">
        <v>42</v>
      </c>
      <c r="G1" t="s">
        <v>19</v>
      </c>
      <c r="I1" s="3" t="s">
        <v>43</v>
      </c>
      <c r="J1" t="s">
        <v>19</v>
      </c>
      <c r="L1" s="3" t="s">
        <v>44</v>
      </c>
      <c r="M1" t="s">
        <v>19</v>
      </c>
    </row>
    <row r="2" spans="1:29" x14ac:dyDescent="0.25">
      <c r="A2">
        <v>2018</v>
      </c>
      <c r="B2" t="s">
        <v>15</v>
      </c>
      <c r="C2" t="s">
        <v>12</v>
      </c>
      <c r="D2" s="2">
        <v>544460</v>
      </c>
      <c r="E2" t="s">
        <v>15</v>
      </c>
      <c r="F2" t="s">
        <v>12</v>
      </c>
      <c r="G2" s="2">
        <v>151443</v>
      </c>
      <c r="H2" t="s">
        <v>15</v>
      </c>
      <c r="I2" t="s">
        <v>12</v>
      </c>
      <c r="J2" s="2"/>
      <c r="K2" t="s">
        <v>15</v>
      </c>
      <c r="L2" t="s">
        <v>12</v>
      </c>
      <c r="M2" s="2"/>
      <c r="N2" t="s">
        <v>13</v>
      </c>
      <c r="O2" t="s">
        <v>14</v>
      </c>
      <c r="P2" t="s">
        <v>30</v>
      </c>
      <c r="R2" t="s">
        <v>16</v>
      </c>
      <c r="S2" t="s">
        <v>17</v>
      </c>
      <c r="T2" t="s">
        <v>18</v>
      </c>
    </row>
    <row r="3" spans="1:29" x14ac:dyDescent="0.25">
      <c r="A3" t="s">
        <v>0</v>
      </c>
      <c r="B3" s="2">
        <f t="shared" ref="B3:B12" si="0">(D3-D2)*1.0185</f>
        <v>3374.2905000000001</v>
      </c>
      <c r="C3">
        <f>B3*P3/1000</f>
        <v>35.908187213850006</v>
      </c>
      <c r="D3" s="2">
        <v>547773</v>
      </c>
      <c r="E3" s="2">
        <f>(G3-G2)*1.0185</f>
        <v>7731.4335000000001</v>
      </c>
      <c r="F3">
        <f>E3*P3/1000</f>
        <v>82.275595876949993</v>
      </c>
      <c r="G3" s="2">
        <v>159034</v>
      </c>
      <c r="H3" s="2"/>
      <c r="I3" s="2"/>
      <c r="J3" s="2"/>
      <c r="K3" s="2"/>
      <c r="L3" s="2"/>
      <c r="M3" s="2"/>
      <c r="N3" s="1">
        <f>R3+S3+T3</f>
        <v>77093.648911472337</v>
      </c>
      <c r="O3" s="1">
        <f>N3*1.21</f>
        <v>93283.315182881532</v>
      </c>
      <c r="P3" s="8">
        <v>10.6417</v>
      </c>
      <c r="R3" s="1">
        <f>30.6*(C3+F3)</f>
        <v>3616.4237625784804</v>
      </c>
      <c r="S3" s="1">
        <f>243005.26/12*0.68977</f>
        <v>13968.144849183334</v>
      </c>
      <c r="T3" s="1">
        <f>(457+44.47+2.06)*(C3+F3)</f>
        <v>59509.080299710527</v>
      </c>
      <c r="W3" s="1"/>
      <c r="X3" s="1"/>
      <c r="Z3" s="1"/>
      <c r="AA3" s="1"/>
      <c r="AB3" s="1"/>
      <c r="AC3" s="1"/>
    </row>
    <row r="4" spans="1:29" x14ac:dyDescent="0.25">
      <c r="A4" t="s">
        <v>1</v>
      </c>
      <c r="B4" s="2">
        <f t="shared" si="0"/>
        <v>3476.1405</v>
      </c>
      <c r="C4">
        <f t="shared" ref="C4:C14" si="1">B4*P4/1000</f>
        <v>36.986482534050005</v>
      </c>
      <c r="D4" s="2">
        <v>551186</v>
      </c>
      <c r="E4" s="2">
        <f t="shared" ref="E4:E14" si="2">(G4-G3)*1.0185</f>
        <v>7965.6884999999993</v>
      </c>
      <c r="F4">
        <f t="shared" ref="F4:F14" si="3">E4*P4/1000</f>
        <v>84.755722208850003</v>
      </c>
      <c r="G4" s="2">
        <v>166855</v>
      </c>
      <c r="H4" s="2"/>
      <c r="I4" s="2"/>
      <c r="J4" s="2"/>
      <c r="K4" s="2"/>
      <c r="L4" s="2"/>
      <c r="M4" s="2"/>
      <c r="N4" s="1">
        <f t="shared" ref="N4:N14" si="4">R4+S4+T4</f>
        <v>78994.308668508529</v>
      </c>
      <c r="O4" s="1">
        <f t="shared" ref="O4:O14" si="5">N4*1.21</f>
        <v>95583.113488895324</v>
      </c>
      <c r="P4" s="8">
        <v>10.6401</v>
      </c>
      <c r="R4" s="1">
        <f t="shared" ref="R4:R11" si="6">30.6*(C4+F4)</f>
        <v>3725.3114651327405</v>
      </c>
      <c r="S4" s="1">
        <f t="shared" ref="S4:S14" si="7">243005.26/12*0.68977</f>
        <v>13968.144849183334</v>
      </c>
      <c r="T4" s="1">
        <f t="shared" ref="T4:T11" si="8">(457+44.47+2.06)*(C4+F4)</f>
        <v>61300.852354192451</v>
      </c>
      <c r="W4" s="1"/>
      <c r="X4" s="1"/>
      <c r="Z4" s="1"/>
      <c r="AA4" s="1"/>
      <c r="AB4" s="1"/>
      <c r="AC4" s="1"/>
    </row>
    <row r="5" spans="1:29" x14ac:dyDescent="0.25">
      <c r="A5" t="s">
        <v>2</v>
      </c>
      <c r="B5" s="2">
        <f t="shared" si="0"/>
        <v>3126.7950000000001</v>
      </c>
      <c r="C5">
        <f t="shared" si="1"/>
        <v>33.263783248499998</v>
      </c>
      <c r="D5" s="2">
        <v>554256</v>
      </c>
      <c r="E5" s="2">
        <f t="shared" si="2"/>
        <v>7193.6655000000001</v>
      </c>
      <c r="F5">
        <f t="shared" si="3"/>
        <v>76.528371688649983</v>
      </c>
      <c r="G5" s="2">
        <v>173918</v>
      </c>
      <c r="H5" s="2"/>
      <c r="I5" s="2"/>
      <c r="J5" s="2"/>
      <c r="K5" s="2"/>
      <c r="L5" s="2"/>
      <c r="M5" s="2"/>
      <c r="N5" s="1">
        <f t="shared" si="4"/>
        <v>72611.428565763257</v>
      </c>
      <c r="O5" s="1">
        <f t="shared" si="5"/>
        <v>87859.828564573545</v>
      </c>
      <c r="P5" s="8">
        <v>10.638299999999999</v>
      </c>
      <c r="R5" s="1">
        <f t="shared" si="6"/>
        <v>3359.6399410767895</v>
      </c>
      <c r="S5" s="1">
        <f t="shared" si="7"/>
        <v>13968.144849183334</v>
      </c>
      <c r="T5" s="1">
        <f t="shared" si="8"/>
        <v>55283.643775503129</v>
      </c>
      <c r="W5" s="1"/>
      <c r="X5" s="1"/>
      <c r="Z5" s="1"/>
      <c r="AA5" s="1"/>
      <c r="AB5" s="1"/>
      <c r="AC5" s="1"/>
    </row>
    <row r="6" spans="1:29" x14ac:dyDescent="0.25">
      <c r="A6" t="s">
        <v>3</v>
      </c>
      <c r="B6" s="2">
        <f t="shared" si="0"/>
        <v>622.30349999999999</v>
      </c>
      <c r="C6">
        <f t="shared" si="1"/>
        <v>6.6181977224999997</v>
      </c>
      <c r="D6" s="2">
        <v>554867</v>
      </c>
      <c r="E6" s="2">
        <f t="shared" si="2"/>
        <v>2448.4739999999997</v>
      </c>
      <c r="F6">
        <f t="shared" si="3"/>
        <v>26.039520989999996</v>
      </c>
      <c r="G6" s="2">
        <v>176322</v>
      </c>
      <c r="H6" s="2"/>
      <c r="I6" s="2"/>
      <c r="J6" s="2"/>
      <c r="K6" s="2"/>
      <c r="L6" s="2"/>
      <c r="M6" s="2"/>
      <c r="N6" s="1">
        <f t="shared" si="4"/>
        <v>31411.612145090963</v>
      </c>
      <c r="O6" s="1">
        <f t="shared" si="5"/>
        <v>38008.050695560065</v>
      </c>
      <c r="P6" s="8">
        <v>10.635</v>
      </c>
      <c r="R6" s="1">
        <f t="shared" si="6"/>
        <v>999.32619260249999</v>
      </c>
      <c r="S6" s="1">
        <f t="shared" si="7"/>
        <v>13968.144849183334</v>
      </c>
      <c r="T6" s="1">
        <f t="shared" si="8"/>
        <v>16444.141103305126</v>
      </c>
      <c r="W6" s="1"/>
      <c r="X6" s="1"/>
      <c r="Z6" s="1"/>
      <c r="AA6" s="1"/>
      <c r="AB6" s="1"/>
      <c r="AC6" s="1"/>
    </row>
    <row r="7" spans="1:29" x14ac:dyDescent="0.25">
      <c r="A7" t="s">
        <v>4</v>
      </c>
      <c r="B7" s="2">
        <f t="shared" si="0"/>
        <v>504.15749999999997</v>
      </c>
      <c r="C7">
        <f t="shared" si="1"/>
        <v>5.3678153182499999</v>
      </c>
      <c r="D7" s="2">
        <v>555362</v>
      </c>
      <c r="E7" s="2">
        <f t="shared" si="2"/>
        <v>798.50400000000002</v>
      </c>
      <c r="F7">
        <f t="shared" si="3"/>
        <v>8.5017519384</v>
      </c>
      <c r="G7" s="2">
        <v>177106</v>
      </c>
      <c r="H7" s="2"/>
      <c r="I7" s="2"/>
      <c r="J7" s="2"/>
      <c r="K7" s="2"/>
      <c r="L7" s="2"/>
      <c r="M7" s="2"/>
      <c r="N7" s="1">
        <f t="shared" si="4"/>
        <v>21376.2968079778</v>
      </c>
      <c r="O7" s="1">
        <f t="shared" si="5"/>
        <v>25865.319137653136</v>
      </c>
      <c r="P7" s="8">
        <v>10.6471</v>
      </c>
      <c r="R7" s="1">
        <f t="shared" si="6"/>
        <v>424.40875805349003</v>
      </c>
      <c r="S7" s="1">
        <f t="shared" si="7"/>
        <v>13968.144849183334</v>
      </c>
      <c r="T7" s="1">
        <f t="shared" si="8"/>
        <v>6983.7432007409752</v>
      </c>
      <c r="W7" s="1"/>
      <c r="X7" s="1"/>
      <c r="Z7" s="1"/>
      <c r="AA7" s="1"/>
      <c r="AB7" s="1"/>
      <c r="AC7" s="1"/>
    </row>
    <row r="8" spans="1:29" x14ac:dyDescent="0.25">
      <c r="A8" t="s">
        <v>5</v>
      </c>
      <c r="B8" s="2">
        <f t="shared" si="0"/>
        <v>233.23649999999998</v>
      </c>
      <c r="C8">
        <f t="shared" si="1"/>
        <v>2.4880037164499993</v>
      </c>
      <c r="D8" s="2">
        <v>555591</v>
      </c>
      <c r="E8" s="2">
        <f t="shared" si="2"/>
        <v>451.19549999999998</v>
      </c>
      <c r="F8">
        <f t="shared" si="3"/>
        <v>4.8130377571499992</v>
      </c>
      <c r="G8" s="2">
        <v>177549</v>
      </c>
      <c r="H8" s="2"/>
      <c r="I8" s="2"/>
      <c r="J8" s="2"/>
      <c r="K8" s="2"/>
      <c r="L8" s="2"/>
      <c r="M8" s="2"/>
      <c r="N8" s="1">
        <f t="shared" si="4"/>
        <v>17867.850131477302</v>
      </c>
      <c r="O8" s="1">
        <f t="shared" si="5"/>
        <v>21620.098659087536</v>
      </c>
      <c r="P8" s="8">
        <v>10.667299999999999</v>
      </c>
      <c r="R8" s="1">
        <f t="shared" si="6"/>
        <v>223.41186909215995</v>
      </c>
      <c r="S8" s="1">
        <f t="shared" si="7"/>
        <v>13968.144849183334</v>
      </c>
      <c r="T8" s="1">
        <f t="shared" si="8"/>
        <v>3676.2934132018072</v>
      </c>
      <c r="W8" s="1"/>
      <c r="X8" s="1"/>
      <c r="Z8" s="1"/>
      <c r="AA8" s="1"/>
      <c r="AB8" s="1"/>
      <c r="AC8" s="1"/>
    </row>
    <row r="9" spans="1:29" x14ac:dyDescent="0.25">
      <c r="A9" t="s">
        <v>6</v>
      </c>
      <c r="B9" s="2">
        <f t="shared" si="0"/>
        <v>0</v>
      </c>
      <c r="C9">
        <f t="shared" si="1"/>
        <v>0</v>
      </c>
      <c r="D9" s="2">
        <v>555591</v>
      </c>
      <c r="E9" s="2">
        <f t="shared" si="2"/>
        <v>0</v>
      </c>
      <c r="F9">
        <f t="shared" si="3"/>
        <v>0</v>
      </c>
      <c r="G9" s="2">
        <v>177549</v>
      </c>
      <c r="H9" s="2"/>
      <c r="I9" s="2"/>
      <c r="J9" s="2"/>
      <c r="K9" s="2"/>
      <c r="L9" s="2"/>
      <c r="M9" s="2"/>
      <c r="N9" s="1">
        <f t="shared" si="4"/>
        <v>13968.144849183334</v>
      </c>
      <c r="O9" s="1">
        <f t="shared" si="5"/>
        <v>16901.455267511836</v>
      </c>
      <c r="P9" s="8">
        <v>10.666</v>
      </c>
      <c r="R9" s="1">
        <f t="shared" si="6"/>
        <v>0</v>
      </c>
      <c r="S9" s="1">
        <f t="shared" si="7"/>
        <v>13968.144849183334</v>
      </c>
      <c r="T9" s="1">
        <f t="shared" si="8"/>
        <v>0</v>
      </c>
      <c r="W9" s="1"/>
      <c r="X9" s="1"/>
      <c r="Z9" s="1"/>
      <c r="AA9" s="1"/>
      <c r="AB9" s="1"/>
      <c r="AC9" s="1"/>
    </row>
    <row r="10" spans="1:29" x14ac:dyDescent="0.25">
      <c r="A10" t="s">
        <v>7</v>
      </c>
      <c r="B10" s="2">
        <f t="shared" si="0"/>
        <v>218.97749999999999</v>
      </c>
      <c r="C10">
        <f t="shared" si="1"/>
        <v>2.3369716755000001</v>
      </c>
      <c r="D10" s="2">
        <v>555806</v>
      </c>
      <c r="E10" s="2">
        <f t="shared" si="2"/>
        <v>190.45949999999999</v>
      </c>
      <c r="F10">
        <f t="shared" si="3"/>
        <v>2.0326218758999999</v>
      </c>
      <c r="G10" s="2">
        <v>177736</v>
      </c>
      <c r="H10" s="2"/>
      <c r="I10" s="2"/>
      <c r="J10" s="2"/>
      <c r="K10" s="2"/>
      <c r="L10" s="2"/>
      <c r="M10" s="2"/>
      <c r="N10" s="1">
        <f t="shared" si="4"/>
        <v>16302.075852792617</v>
      </c>
      <c r="O10" s="1">
        <f t="shared" si="5"/>
        <v>19725.511781879068</v>
      </c>
      <c r="P10" s="8">
        <v>10.6722</v>
      </c>
      <c r="R10" s="1">
        <f t="shared" si="6"/>
        <v>133.70956267283998</v>
      </c>
      <c r="S10" s="1">
        <f t="shared" si="7"/>
        <v>13968.144849183334</v>
      </c>
      <c r="T10" s="1">
        <f t="shared" si="8"/>
        <v>2200.2214409364419</v>
      </c>
      <c r="W10" s="1"/>
      <c r="X10" s="1"/>
      <c r="Z10" s="1"/>
      <c r="AA10" s="1"/>
      <c r="AB10" s="1"/>
      <c r="AC10" s="1"/>
    </row>
    <row r="11" spans="1:29" x14ac:dyDescent="0.25">
      <c r="A11" t="s">
        <v>8</v>
      </c>
      <c r="B11" s="2">
        <f t="shared" si="0"/>
        <v>863.68799999999999</v>
      </c>
      <c r="C11">
        <f t="shared" si="1"/>
        <v>9.2245333152000004</v>
      </c>
      <c r="D11" s="2">
        <v>556654</v>
      </c>
      <c r="E11" s="2">
        <f t="shared" si="2"/>
        <v>651.83999999999992</v>
      </c>
      <c r="F11">
        <f t="shared" si="3"/>
        <v>6.9619119359999999</v>
      </c>
      <c r="G11" s="2">
        <v>178376</v>
      </c>
      <c r="H11" s="2"/>
      <c r="J11" s="2">
        <v>57342</v>
      </c>
      <c r="K11" s="2"/>
      <c r="M11" s="2">
        <v>220325</v>
      </c>
      <c r="N11" s="1">
        <f t="shared" si="4"/>
        <v>22613.810851206788</v>
      </c>
      <c r="O11" s="1">
        <f t="shared" si="5"/>
        <v>27362.711129960215</v>
      </c>
      <c r="P11" s="8">
        <v>10.680400000000001</v>
      </c>
      <c r="R11" s="1">
        <f t="shared" si="6"/>
        <v>495.30522468671995</v>
      </c>
      <c r="S11" s="1">
        <f t="shared" si="7"/>
        <v>13968.144849183334</v>
      </c>
      <c r="T11" s="1">
        <f t="shared" si="8"/>
        <v>8150.3607773367357</v>
      </c>
      <c r="W11" s="1"/>
      <c r="X11" s="1"/>
      <c r="Z11" s="1"/>
      <c r="AA11" s="1"/>
      <c r="AB11" s="1"/>
      <c r="AC11" s="1"/>
    </row>
    <row r="12" spans="1:29" x14ac:dyDescent="0.25">
      <c r="A12" t="s">
        <v>9</v>
      </c>
      <c r="B12" s="2">
        <f t="shared" si="0"/>
        <v>796.46699999999998</v>
      </c>
      <c r="C12">
        <f t="shared" si="1"/>
        <v>8.4901789265999987</v>
      </c>
      <c r="D12" s="2">
        <v>557436</v>
      </c>
      <c r="E12" s="2">
        <f t="shared" si="2"/>
        <v>1309.7909999999999</v>
      </c>
      <c r="F12">
        <f t="shared" si="3"/>
        <v>13.9621101018</v>
      </c>
      <c r="G12" s="2">
        <v>179662</v>
      </c>
      <c r="H12" s="2">
        <f>(J12-J11)*1.0185</f>
        <v>782.20799999999997</v>
      </c>
      <c r="I12">
        <f>H12*P12/1000</f>
        <v>8.3381808383999996</v>
      </c>
      <c r="J12" s="2">
        <v>58110</v>
      </c>
      <c r="K12" s="2">
        <f>(M12-M11)*1.0185</f>
        <v>1957.557</v>
      </c>
      <c r="L12">
        <f>K12*P12/1000</f>
        <v>20.867166108600003</v>
      </c>
      <c r="M12" s="2">
        <v>222247</v>
      </c>
      <c r="N12" s="1">
        <f t="shared" si="4"/>
        <v>41560.037952723738</v>
      </c>
      <c r="O12" s="1">
        <f t="shared" si="5"/>
        <v>50287.645922795724</v>
      </c>
      <c r="P12" s="8">
        <v>10.659800000000001</v>
      </c>
      <c r="R12" s="1">
        <f>30.6*(C12+F12+I12+L12)</f>
        <v>1580.7236608472401</v>
      </c>
      <c r="S12" s="1">
        <f t="shared" si="7"/>
        <v>13968.144849183334</v>
      </c>
      <c r="T12" s="1">
        <f>(457+44.47+2.06)*(C12+F12+I12+L12)</f>
        <v>26011.169442693161</v>
      </c>
      <c r="W12" s="1"/>
      <c r="X12" s="1"/>
      <c r="Z12" s="1"/>
      <c r="AA12" s="1"/>
      <c r="AB12" s="1"/>
      <c r="AC12" s="1"/>
    </row>
    <row r="13" spans="1:29" x14ac:dyDescent="0.25">
      <c r="A13" t="s">
        <v>10</v>
      </c>
      <c r="B13" s="2"/>
      <c r="C13">
        <f t="shared" si="1"/>
        <v>0</v>
      </c>
      <c r="D13" s="2"/>
      <c r="E13" s="2"/>
      <c r="F13">
        <f t="shared" si="3"/>
        <v>0</v>
      </c>
      <c r="G13" s="2"/>
      <c r="H13" s="2">
        <f t="shared" ref="H13:H14" si="9">(J13-J12)*1.0185</f>
        <v>2547.2684999999997</v>
      </c>
      <c r="I13">
        <f t="shared" ref="I13:I14" si="10">H13*P13/1000</f>
        <v>27.152099122049997</v>
      </c>
      <c r="J13" s="2">
        <v>60611</v>
      </c>
      <c r="K13" s="2">
        <f t="shared" ref="K13:K14" si="11">(M13-M12)*1.0185</f>
        <v>5883.8744999999999</v>
      </c>
      <c r="L13">
        <f t="shared" ref="L13:L14" si="12">K13*P13/1000</f>
        <v>62.717983457850004</v>
      </c>
      <c r="M13" s="2">
        <v>228024</v>
      </c>
      <c r="N13" s="1">
        <f t="shared" si="4"/>
        <v>61970.452057585324</v>
      </c>
      <c r="O13" s="1">
        <f t="shared" si="5"/>
        <v>74984.246989678242</v>
      </c>
      <c r="P13" s="8">
        <v>10.6593</v>
      </c>
      <c r="R13" s="1">
        <f t="shared" ref="R13:R14" si="13">30.6*(C13+F13+I13+L13)</f>
        <v>2750.0245269449401</v>
      </c>
      <c r="S13" s="1">
        <f t="shared" si="7"/>
        <v>13968.144849183334</v>
      </c>
      <c r="T13" s="1">
        <f t="shared" ref="T13:T14" si="14">(457+44.47+2.06)*(C13+F13+I13+L13)</f>
        <v>45252.282681457051</v>
      </c>
      <c r="W13" s="1"/>
      <c r="X13" s="1"/>
      <c r="Z13" s="1"/>
      <c r="AA13" s="1"/>
      <c r="AB13" s="1"/>
      <c r="AC13" s="1"/>
    </row>
    <row r="14" spans="1:29" x14ac:dyDescent="0.25">
      <c r="A14" t="s">
        <v>11</v>
      </c>
      <c r="B14" s="2">
        <f>(D14-D13)*1.0185</f>
        <v>0</v>
      </c>
      <c r="C14">
        <f t="shared" si="1"/>
        <v>0</v>
      </c>
      <c r="D14" s="2"/>
      <c r="E14" s="2">
        <f t="shared" si="2"/>
        <v>0</v>
      </c>
      <c r="F14">
        <f t="shared" si="3"/>
        <v>0</v>
      </c>
      <c r="G14" s="2"/>
      <c r="H14" s="2">
        <f t="shared" si="9"/>
        <v>2484.1214999999997</v>
      </c>
      <c r="I14">
        <f t="shared" si="10"/>
        <v>26.498869276949993</v>
      </c>
      <c r="J14" s="2">
        <v>63050</v>
      </c>
      <c r="K14" s="2">
        <f t="shared" si="11"/>
        <v>8441.3279999999995</v>
      </c>
      <c r="L14">
        <f t="shared" si="12"/>
        <v>90.046178174399984</v>
      </c>
      <c r="M14" s="2">
        <v>236312</v>
      </c>
      <c r="N14" s="1">
        <f t="shared" si="4"/>
        <v>76218.351044372888</v>
      </c>
      <c r="O14" s="1">
        <f t="shared" si="5"/>
        <v>92224.204763691188</v>
      </c>
      <c r="P14" s="8">
        <v>10.667299999999999</v>
      </c>
      <c r="R14" s="1">
        <f t="shared" si="13"/>
        <v>3566.2784520113091</v>
      </c>
      <c r="S14" s="1">
        <f t="shared" si="7"/>
        <v>13968.144849183334</v>
      </c>
      <c r="T14" s="1">
        <f t="shared" si="14"/>
        <v>58683.927743178254</v>
      </c>
      <c r="W14" s="1"/>
      <c r="X14" s="1"/>
      <c r="Z14" s="1"/>
      <c r="AA14" s="1"/>
      <c r="AB14" s="1"/>
      <c r="AC14" s="1"/>
    </row>
    <row r="15" spans="1:29" x14ac:dyDescent="0.25">
      <c r="B15" s="2"/>
      <c r="E15" s="2"/>
      <c r="N15" s="1"/>
      <c r="O15" s="1"/>
      <c r="P15" s="1"/>
      <c r="R15" s="1"/>
      <c r="S15" s="1"/>
      <c r="T15" s="1"/>
      <c r="W15" s="1"/>
      <c r="X15" s="1"/>
      <c r="Z15" s="1"/>
      <c r="AA15" s="1"/>
      <c r="AB15" s="1"/>
      <c r="AC15" s="1"/>
    </row>
    <row r="18" spans="1:29" x14ac:dyDescent="0.25">
      <c r="A18" t="str">
        <f>A1</f>
        <v>EIC27ZG200Z0236309T</v>
      </c>
      <c r="C18" s="3" t="s">
        <v>41</v>
      </c>
      <c r="D18" t="s">
        <v>19</v>
      </c>
      <c r="F18" s="3" t="s">
        <v>42</v>
      </c>
      <c r="G18" t="s">
        <v>19</v>
      </c>
      <c r="I18" s="3" t="s">
        <v>43</v>
      </c>
      <c r="J18" t="s">
        <v>19</v>
      </c>
      <c r="L18" s="3" t="s">
        <v>44</v>
      </c>
      <c r="M18" t="s">
        <v>19</v>
      </c>
    </row>
    <row r="19" spans="1:29" x14ac:dyDescent="0.25">
      <c r="A19">
        <v>2019</v>
      </c>
      <c r="B19" t="s">
        <v>15</v>
      </c>
      <c r="C19" t="s">
        <v>12</v>
      </c>
      <c r="D19" s="2"/>
      <c r="E19" t="s">
        <v>15</v>
      </c>
      <c r="F19" t="s">
        <v>12</v>
      </c>
      <c r="G19" s="2"/>
      <c r="H19" t="s">
        <v>15</v>
      </c>
      <c r="I19" t="s">
        <v>12</v>
      </c>
      <c r="J19" s="2">
        <f>J14</f>
        <v>63050</v>
      </c>
      <c r="K19" t="s">
        <v>15</v>
      </c>
      <c r="L19" t="s">
        <v>12</v>
      </c>
      <c r="M19" s="2">
        <f>M14</f>
        <v>236312</v>
      </c>
      <c r="N19" t="s">
        <v>13</v>
      </c>
      <c r="O19" t="s">
        <v>14</v>
      </c>
      <c r="P19" t="s">
        <v>30</v>
      </c>
      <c r="R19" t="s">
        <v>16</v>
      </c>
      <c r="S19" t="s">
        <v>17</v>
      </c>
      <c r="T19" t="s">
        <v>18</v>
      </c>
    </row>
    <row r="20" spans="1:29" x14ac:dyDescent="0.25">
      <c r="A20" t="s">
        <v>0</v>
      </c>
      <c r="B20" s="2"/>
      <c r="D20" s="2"/>
      <c r="E20" s="2"/>
      <c r="G20" s="2"/>
      <c r="H20" s="2">
        <f t="shared" ref="H20:H28" si="15">(J20-J19)*1.0185</f>
        <v>4686.1184999999996</v>
      </c>
      <c r="I20">
        <f t="shared" ref="I20:I28" si="16">H20*P20/1000</f>
        <v>50.043059461499993</v>
      </c>
      <c r="J20" s="2">
        <v>67651</v>
      </c>
      <c r="K20" s="2">
        <f t="shared" ref="K20:K28" si="17">(M20-M19)*1.0185</f>
        <v>8337.4409999999989</v>
      </c>
      <c r="L20">
        <f t="shared" ref="L20:L28" si="18">K20*P20/1000</f>
        <v>89.035532438999994</v>
      </c>
      <c r="M20" s="2">
        <v>244498</v>
      </c>
      <c r="N20" s="1">
        <f>R20+S20+T20</f>
        <v>113610.045993919</v>
      </c>
      <c r="O20" s="1">
        <f>N20*1.21</f>
        <v>137468.15565264199</v>
      </c>
      <c r="P20" s="8">
        <v>10.679</v>
      </c>
      <c r="R20" s="1">
        <f t="shared" ref="R20" si="19">30.6*(C20+F20+I20+L20)</f>
        <v>4255.8049121552995</v>
      </c>
      <c r="S20" s="1">
        <f>242185.55/12*0.60323</f>
        <v>12174.465777208334</v>
      </c>
      <c r="T20" s="1">
        <f>(654+42.69+2.05)*(C20+F20+I20+L20)</f>
        <v>97179.775304555369</v>
      </c>
      <c r="W20" s="1"/>
      <c r="X20" s="1"/>
      <c r="Z20" s="1"/>
      <c r="AA20" s="1"/>
      <c r="AB20" s="1"/>
      <c r="AC20" s="1"/>
    </row>
    <row r="21" spans="1:29" x14ac:dyDescent="0.25">
      <c r="A21" t="s">
        <v>1</v>
      </c>
      <c r="B21" s="2"/>
      <c r="D21" s="2"/>
      <c r="E21" s="2"/>
      <c r="G21" s="2"/>
      <c r="H21" s="2">
        <f t="shared" si="15"/>
        <v>2633.8409999999999</v>
      </c>
      <c r="I21">
        <f t="shared" si="16"/>
        <v>28.102029933600001</v>
      </c>
      <c r="J21" s="2">
        <v>70237</v>
      </c>
      <c r="K21" s="2">
        <f t="shared" si="17"/>
        <v>6838.2089999999998</v>
      </c>
      <c r="L21">
        <f t="shared" si="18"/>
        <v>72.960954746400006</v>
      </c>
      <c r="M21" s="2">
        <v>251212</v>
      </c>
      <c r="N21" s="1">
        <f t="shared" ref="N21:N31" si="20">R21+S21+T21</f>
        <v>85883.743023719537</v>
      </c>
      <c r="O21" s="1">
        <f t="shared" ref="O21:O31" si="21">N21*1.21</f>
        <v>103919.32905870063</v>
      </c>
      <c r="P21" s="8">
        <v>10.669600000000001</v>
      </c>
      <c r="R21" s="1">
        <f t="shared" ref="R21:R31" si="22">30.6*(C21+F21+I21+L21)</f>
        <v>3092.5273312080003</v>
      </c>
      <c r="S21" s="1">
        <f t="shared" ref="S21:S31" si="23">242185.55/12*0.60323</f>
        <v>12174.465777208334</v>
      </c>
      <c r="T21" s="1">
        <f t="shared" ref="T21:T31" si="24">(654+42.69+2.05)*(C21+F21+I21+L21)</f>
        <v>70616.749915303197</v>
      </c>
      <c r="W21" s="1"/>
      <c r="X21" s="1"/>
      <c r="Z21" s="1"/>
      <c r="AA21" s="1"/>
      <c r="AB21" s="1"/>
      <c r="AC21" s="1"/>
    </row>
    <row r="22" spans="1:29" x14ac:dyDescent="0.25">
      <c r="A22" t="s">
        <v>2</v>
      </c>
      <c r="B22" s="2"/>
      <c r="D22" s="2"/>
      <c r="E22" s="2"/>
      <c r="G22" s="2"/>
      <c r="H22" s="2">
        <f t="shared" si="15"/>
        <v>1243.5884999999998</v>
      </c>
      <c r="I22">
        <f t="shared" si="16"/>
        <v>13.253793156449998</v>
      </c>
      <c r="J22" s="2">
        <v>71458</v>
      </c>
      <c r="K22" s="2">
        <f t="shared" si="17"/>
        <v>6225.0720000000001</v>
      </c>
      <c r="L22">
        <f t="shared" si="18"/>
        <v>66.344949854400014</v>
      </c>
      <c r="M22" s="2">
        <v>257324</v>
      </c>
      <c r="N22" s="1">
        <f t="shared" si="20"/>
        <v>70229.01300474169</v>
      </c>
      <c r="O22" s="1">
        <f t="shared" si="21"/>
        <v>84977.105735737437</v>
      </c>
      <c r="P22" s="8">
        <v>10.6577</v>
      </c>
      <c r="R22" s="1">
        <f t="shared" si="22"/>
        <v>2435.7215361320104</v>
      </c>
      <c r="S22" s="1">
        <f t="shared" si="23"/>
        <v>12174.465777208334</v>
      </c>
      <c r="T22" s="1">
        <f t="shared" si="24"/>
        <v>55618.82569140134</v>
      </c>
      <c r="W22" s="1"/>
      <c r="X22" s="1"/>
      <c r="Z22" s="1"/>
      <c r="AA22" s="1"/>
      <c r="AB22" s="1"/>
      <c r="AC22" s="1"/>
    </row>
    <row r="23" spans="1:29" x14ac:dyDescent="0.25">
      <c r="A23" t="s">
        <v>3</v>
      </c>
      <c r="B23" s="2"/>
      <c r="D23" s="2"/>
      <c r="E23" s="2"/>
      <c r="G23" s="2"/>
      <c r="H23" s="2">
        <f t="shared" si="15"/>
        <v>494.99099999999999</v>
      </c>
      <c r="I23">
        <f t="shared" si="16"/>
        <v>5.2733866185</v>
      </c>
      <c r="J23" s="2">
        <v>71944</v>
      </c>
      <c r="K23" s="2">
        <f t="shared" si="17"/>
        <v>3572.8979999999997</v>
      </c>
      <c r="L23">
        <f t="shared" si="18"/>
        <v>38.063868842999995</v>
      </c>
      <c r="M23" s="2">
        <v>260832</v>
      </c>
      <c r="N23" s="1">
        <f t="shared" si="20"/>
        <v>43782.059675498735</v>
      </c>
      <c r="O23" s="1">
        <f t="shared" si="21"/>
        <v>52976.292207353465</v>
      </c>
      <c r="P23" s="8">
        <v>10.653499999999999</v>
      </c>
      <c r="R23" s="1">
        <f t="shared" si="22"/>
        <v>1326.1200171218998</v>
      </c>
      <c r="S23" s="1">
        <f t="shared" si="23"/>
        <v>12174.465777208334</v>
      </c>
      <c r="T23" s="1">
        <f t="shared" si="24"/>
        <v>30281.473881168506</v>
      </c>
      <c r="W23" s="1"/>
      <c r="X23" s="1"/>
      <c r="Z23" s="1"/>
      <c r="AA23" s="1"/>
      <c r="AB23" s="1"/>
      <c r="AC23" s="1"/>
    </row>
    <row r="24" spans="1:29" x14ac:dyDescent="0.25">
      <c r="A24" t="s">
        <v>4</v>
      </c>
      <c r="B24" s="2"/>
      <c r="D24" s="2"/>
      <c r="E24" s="2"/>
      <c r="G24" s="2"/>
      <c r="H24" s="2">
        <f t="shared" si="15"/>
        <v>789.33749999999998</v>
      </c>
      <c r="I24">
        <f t="shared" si="16"/>
        <v>8.3920784325</v>
      </c>
      <c r="J24" s="2">
        <v>72719</v>
      </c>
      <c r="K24" s="2">
        <f t="shared" si="17"/>
        <v>2465.7885000000001</v>
      </c>
      <c r="L24">
        <f t="shared" si="18"/>
        <v>26.215770174300001</v>
      </c>
      <c r="M24" s="2">
        <v>263253</v>
      </c>
      <c r="N24" s="1">
        <f t="shared" si="20"/>
        <v>37415.354080091849</v>
      </c>
      <c r="O24" s="1">
        <f t="shared" si="21"/>
        <v>45272.578436911135</v>
      </c>
      <c r="P24" s="8">
        <v>10.6318</v>
      </c>
      <c r="R24" s="1">
        <f t="shared" si="22"/>
        <v>1059.0001673680802</v>
      </c>
      <c r="S24" s="1">
        <f t="shared" si="23"/>
        <v>12174.465777208334</v>
      </c>
      <c r="T24" s="1">
        <f t="shared" si="24"/>
        <v>24181.888135515437</v>
      </c>
      <c r="W24" s="1"/>
      <c r="X24" s="1"/>
      <c r="Z24" s="1"/>
      <c r="AA24" s="1"/>
      <c r="AB24" s="1"/>
      <c r="AC24" s="1"/>
    </row>
    <row r="25" spans="1:29" x14ac:dyDescent="0.25">
      <c r="A25" t="s">
        <v>5</v>
      </c>
      <c r="B25" s="2"/>
      <c r="D25" s="2"/>
      <c r="E25" s="2"/>
      <c r="G25" s="2"/>
      <c r="H25" s="2">
        <f t="shared" si="15"/>
        <v>683.4135</v>
      </c>
      <c r="I25">
        <f t="shared" si="16"/>
        <v>7.2812924530499998</v>
      </c>
      <c r="J25" s="2">
        <v>73390</v>
      </c>
      <c r="K25" s="2">
        <f t="shared" si="17"/>
        <v>31.573499999999999</v>
      </c>
      <c r="L25">
        <f t="shared" si="18"/>
        <v>0.33639354104999997</v>
      </c>
      <c r="M25" s="2">
        <v>263284</v>
      </c>
      <c r="N25" s="1">
        <f t="shared" si="20"/>
        <v>17730.348880145226</v>
      </c>
      <c r="O25" s="1">
        <f t="shared" si="21"/>
        <v>21453.722144975723</v>
      </c>
      <c r="P25" s="8">
        <v>10.654299999999999</v>
      </c>
      <c r="R25" s="1">
        <f t="shared" si="22"/>
        <v>233.10119141946001</v>
      </c>
      <c r="S25" s="1">
        <f t="shared" si="23"/>
        <v>12174.465777208334</v>
      </c>
      <c r="T25" s="1">
        <f t="shared" si="24"/>
        <v>5322.7819115174334</v>
      </c>
      <c r="W25" s="1"/>
      <c r="X25" s="1"/>
      <c r="Z25" s="1"/>
      <c r="AA25" s="1"/>
      <c r="AB25" s="1"/>
      <c r="AC25" s="1"/>
    </row>
    <row r="26" spans="1:29" x14ac:dyDescent="0.25">
      <c r="A26" t="s">
        <v>6</v>
      </c>
      <c r="B26" s="2"/>
      <c r="D26" s="2"/>
      <c r="E26" s="2"/>
      <c r="G26" s="2"/>
      <c r="H26" s="2">
        <f t="shared" si="15"/>
        <v>16.295999999999999</v>
      </c>
      <c r="I26">
        <f t="shared" si="16"/>
        <v>0.17379032159999999</v>
      </c>
      <c r="J26" s="2">
        <v>73406</v>
      </c>
      <c r="K26" s="2">
        <f t="shared" si="17"/>
        <v>0</v>
      </c>
      <c r="L26">
        <f t="shared" si="18"/>
        <v>0</v>
      </c>
      <c r="M26" s="2">
        <v>263284</v>
      </c>
      <c r="N26" s="1">
        <f t="shared" si="20"/>
        <v>12301.218010364077</v>
      </c>
      <c r="O26" s="1">
        <f t="shared" si="21"/>
        <v>14884.473792540532</v>
      </c>
      <c r="P26" s="8">
        <v>10.6646</v>
      </c>
      <c r="R26" s="1">
        <f t="shared" si="22"/>
        <v>5.3179838409600002</v>
      </c>
      <c r="S26" s="1">
        <f t="shared" si="23"/>
        <v>12174.465777208334</v>
      </c>
      <c r="T26" s="1">
        <f t="shared" si="24"/>
        <v>121.434249314784</v>
      </c>
      <c r="W26" s="1"/>
      <c r="X26" s="1"/>
      <c r="Z26" s="1"/>
      <c r="AA26" s="1"/>
      <c r="AB26" s="1"/>
      <c r="AC26" s="1"/>
    </row>
    <row r="27" spans="1:29" x14ac:dyDescent="0.25">
      <c r="A27" t="s">
        <v>7</v>
      </c>
      <c r="B27" s="2"/>
      <c r="D27" s="2"/>
      <c r="E27" s="2"/>
      <c r="G27" s="2"/>
      <c r="H27" s="2">
        <f t="shared" si="15"/>
        <v>237.31049999999999</v>
      </c>
      <c r="I27">
        <f t="shared" si="16"/>
        <v>2.5271669765999998</v>
      </c>
      <c r="J27" s="2">
        <v>73639</v>
      </c>
      <c r="K27" s="2">
        <f t="shared" si="17"/>
        <v>396.19649999999996</v>
      </c>
      <c r="L27">
        <f t="shared" si="18"/>
        <v>4.2191757677999995</v>
      </c>
      <c r="M27" s="2">
        <v>263673</v>
      </c>
      <c r="N27" s="1">
        <f t="shared" si="20"/>
        <v>17094.843394409028</v>
      </c>
      <c r="O27" s="1">
        <f t="shared" si="21"/>
        <v>20684.760507234925</v>
      </c>
      <c r="P27" s="8">
        <v>10.6492</v>
      </c>
      <c r="R27" s="1">
        <f t="shared" si="22"/>
        <v>206.43808797864</v>
      </c>
      <c r="S27" s="1">
        <f t="shared" si="23"/>
        <v>12174.465777208334</v>
      </c>
      <c r="T27" s="1">
        <f t="shared" si="24"/>
        <v>4713.9395292220561</v>
      </c>
      <c r="W27" s="1"/>
      <c r="X27" s="1"/>
      <c r="Z27" s="1"/>
      <c r="AA27" s="1"/>
      <c r="AB27" s="1"/>
      <c r="AC27" s="1"/>
    </row>
    <row r="28" spans="1:29" x14ac:dyDescent="0.25">
      <c r="A28" t="s">
        <v>8</v>
      </c>
      <c r="B28" s="2"/>
      <c r="D28" s="2"/>
      <c r="E28" s="2"/>
      <c r="G28" s="2"/>
      <c r="H28" s="2">
        <f t="shared" si="15"/>
        <v>1064.3325</v>
      </c>
      <c r="I28">
        <f t="shared" si="16"/>
        <v>11.35142541225</v>
      </c>
      <c r="J28" s="2">
        <v>74684</v>
      </c>
      <c r="K28" s="2">
        <f t="shared" si="17"/>
        <v>126.294</v>
      </c>
      <c r="L28">
        <f t="shared" si="18"/>
        <v>1.3469633982</v>
      </c>
      <c r="M28" s="2">
        <v>263797</v>
      </c>
      <c r="N28" s="1">
        <f t="shared" si="20"/>
        <v>21435.908672221936</v>
      </c>
      <c r="O28" s="1">
        <f t="shared" si="21"/>
        <v>25937.449493388543</v>
      </c>
      <c r="P28" s="8">
        <v>10.6653</v>
      </c>
      <c r="R28" s="1">
        <f t="shared" si="22"/>
        <v>388.57069759977003</v>
      </c>
      <c r="S28" s="1">
        <f t="shared" si="23"/>
        <v>12174.465777208334</v>
      </c>
      <c r="T28" s="1">
        <f t="shared" si="24"/>
        <v>8872.8721974138334</v>
      </c>
      <c r="W28" s="1"/>
      <c r="X28" s="1"/>
      <c r="Z28" s="1"/>
      <c r="AA28" s="1"/>
      <c r="AB28" s="1"/>
      <c r="AC28" s="1"/>
    </row>
    <row r="29" spans="1:29" x14ac:dyDescent="0.25">
      <c r="A29" t="s">
        <v>9</v>
      </c>
      <c r="B29" s="2"/>
      <c r="D29" s="2"/>
      <c r="E29" s="2"/>
      <c r="G29" s="2"/>
      <c r="H29" s="2">
        <f>(J29-J28)*1.0185</f>
        <v>1935.1499999999999</v>
      </c>
      <c r="I29">
        <f>H29*P29/1000</f>
        <v>20.562903899999998</v>
      </c>
      <c r="J29" s="2">
        <v>76584</v>
      </c>
      <c r="K29" s="2">
        <f>(M29-M28)*1.0185</f>
        <v>2546.25</v>
      </c>
      <c r="L29">
        <f>K29*P29/1000</f>
        <v>27.056452499999999</v>
      </c>
      <c r="M29" s="2">
        <v>266297</v>
      </c>
      <c r="N29" s="1">
        <f t="shared" si="20"/>
        <v>46905.167173984337</v>
      </c>
      <c r="O29" s="1">
        <f t="shared" si="21"/>
        <v>56755.252280521046</v>
      </c>
      <c r="P29" s="8">
        <v>10.625999999999999</v>
      </c>
      <c r="R29" s="1">
        <f t="shared" si="22"/>
        <v>1457.1523058400001</v>
      </c>
      <c r="S29" s="1">
        <f t="shared" si="23"/>
        <v>12174.465777208334</v>
      </c>
      <c r="T29" s="1">
        <f t="shared" si="24"/>
        <v>33273.549090936001</v>
      </c>
      <c r="W29" s="1"/>
      <c r="X29" s="1"/>
      <c r="Z29" s="1"/>
      <c r="AA29" s="1"/>
      <c r="AB29" s="1"/>
      <c r="AC29" s="1"/>
    </row>
    <row r="30" spans="1:29" x14ac:dyDescent="0.25">
      <c r="A30" t="s">
        <v>10</v>
      </c>
      <c r="B30" s="2"/>
      <c r="D30" s="2"/>
      <c r="E30" s="2"/>
      <c r="G30" s="2"/>
      <c r="H30" s="2">
        <f t="shared" ref="H30:H31" si="25">(J30-J29)*1.0185</f>
        <v>4019.0009999999997</v>
      </c>
      <c r="I30">
        <f t="shared" ref="I30:I31" si="26">H30*P30/1000</f>
        <v>42.735243333299998</v>
      </c>
      <c r="J30" s="2">
        <v>80530</v>
      </c>
      <c r="K30" s="2">
        <f t="shared" ref="K30:K31" si="27">(M30-M29)*1.0185</f>
        <v>4511.9549999999999</v>
      </c>
      <c r="L30">
        <f t="shared" ref="L30:L31" si="28">K30*P30/1000</f>
        <v>47.976971101499998</v>
      </c>
      <c r="M30" s="2">
        <v>270727</v>
      </c>
      <c r="N30" s="1">
        <f t="shared" si="20"/>
        <v>78334.512253085355</v>
      </c>
      <c r="O30" s="1">
        <f t="shared" si="21"/>
        <v>94784.759826233276</v>
      </c>
      <c r="P30" s="8">
        <v>10.6333</v>
      </c>
      <c r="R30" s="1">
        <f t="shared" si="22"/>
        <v>2775.7937617048797</v>
      </c>
      <c r="S30" s="1">
        <f t="shared" si="23"/>
        <v>12174.465777208334</v>
      </c>
      <c r="T30" s="1">
        <f t="shared" si="24"/>
        <v>63384.252714172144</v>
      </c>
      <c r="W30" s="1"/>
      <c r="X30" s="1"/>
      <c r="Z30" s="1"/>
      <c r="AA30" s="1"/>
      <c r="AB30" s="1"/>
      <c r="AC30" s="1"/>
    </row>
    <row r="31" spans="1:29" x14ac:dyDescent="0.25">
      <c r="A31" t="s">
        <v>11</v>
      </c>
      <c r="B31" s="2"/>
      <c r="D31" s="2"/>
      <c r="E31" s="2"/>
      <c r="G31" s="2"/>
      <c r="H31" s="2">
        <f t="shared" si="25"/>
        <v>4650.4709999999995</v>
      </c>
      <c r="I31">
        <f t="shared" si="26"/>
        <v>49.581461613599998</v>
      </c>
      <c r="J31" s="2">
        <v>85096</v>
      </c>
      <c r="K31" s="2">
        <f t="shared" si="27"/>
        <v>5043.6120000000001</v>
      </c>
      <c r="L31">
        <f t="shared" si="28"/>
        <v>53.772973699200001</v>
      </c>
      <c r="M31" s="2">
        <v>275679</v>
      </c>
      <c r="N31" s="1">
        <f t="shared" si="20"/>
        <v>87554.989628245894</v>
      </c>
      <c r="O31" s="1">
        <f t="shared" si="21"/>
        <v>105941.53745017752</v>
      </c>
      <c r="P31" s="8">
        <v>10.6616</v>
      </c>
      <c r="R31" s="1">
        <f t="shared" si="22"/>
        <v>3162.6457205716802</v>
      </c>
      <c r="S31" s="1">
        <f t="shared" si="23"/>
        <v>12174.465777208334</v>
      </c>
      <c r="T31" s="1">
        <f t="shared" si="24"/>
        <v>72217.878130465877</v>
      </c>
      <c r="W31" s="1"/>
      <c r="X31" s="1"/>
      <c r="Z31" s="1"/>
      <c r="AA31" s="1"/>
      <c r="AB31" s="1"/>
      <c r="AC31" s="1"/>
    </row>
    <row r="32" spans="1:29" x14ac:dyDescent="0.25">
      <c r="B32" s="2"/>
      <c r="E32" s="2"/>
      <c r="N32" s="1"/>
      <c r="O32" s="1"/>
      <c r="P32" s="1"/>
      <c r="R32" s="1"/>
      <c r="S32" s="1"/>
      <c r="T32" s="1"/>
      <c r="W32" s="1"/>
      <c r="X32" s="1"/>
      <c r="Z32" s="1"/>
      <c r="AA32" s="1"/>
      <c r="AB32" s="1"/>
      <c r="AC32" s="1"/>
    </row>
    <row r="35" spans="1:29" x14ac:dyDescent="0.25">
      <c r="A35" t="str">
        <f>A18</f>
        <v>EIC27ZG200Z0236309T</v>
      </c>
      <c r="C35" s="3" t="s">
        <v>41</v>
      </c>
      <c r="D35" t="s">
        <v>19</v>
      </c>
      <c r="F35" s="3" t="s">
        <v>42</v>
      </c>
      <c r="G35" t="s">
        <v>19</v>
      </c>
      <c r="I35" s="3" t="s">
        <v>43</v>
      </c>
      <c r="J35" t="s">
        <v>19</v>
      </c>
      <c r="L35" s="3" t="s">
        <v>44</v>
      </c>
      <c r="M35" t="s">
        <v>19</v>
      </c>
    </row>
    <row r="36" spans="1:29" x14ac:dyDescent="0.25">
      <c r="A36">
        <v>2020</v>
      </c>
      <c r="B36" t="s">
        <v>15</v>
      </c>
      <c r="C36" t="s">
        <v>12</v>
      </c>
      <c r="D36" s="2"/>
      <c r="E36" t="s">
        <v>15</v>
      </c>
      <c r="F36" t="s">
        <v>12</v>
      </c>
      <c r="G36" s="2"/>
      <c r="H36" t="s">
        <v>15</v>
      </c>
      <c r="I36" t="s">
        <v>12</v>
      </c>
      <c r="J36" s="2">
        <f>J31</f>
        <v>85096</v>
      </c>
      <c r="K36" t="s">
        <v>15</v>
      </c>
      <c r="L36" t="s">
        <v>12</v>
      </c>
      <c r="M36" s="2">
        <f>M31</f>
        <v>275679</v>
      </c>
      <c r="N36" t="s">
        <v>13</v>
      </c>
      <c r="O36" t="s">
        <v>14</v>
      </c>
      <c r="P36" t="s">
        <v>30</v>
      </c>
      <c r="R36" t="s">
        <v>16</v>
      </c>
      <c r="S36" t="s">
        <v>17</v>
      </c>
      <c r="T36" t="s">
        <v>18</v>
      </c>
    </row>
    <row r="37" spans="1:29" x14ac:dyDescent="0.25">
      <c r="A37" t="s">
        <v>0</v>
      </c>
      <c r="B37" s="2"/>
      <c r="D37" s="2"/>
      <c r="E37" s="2"/>
      <c r="G37" s="2"/>
      <c r="H37" s="2">
        <f t="shared" ref="H37:H45" si="29">(J37-J36)*1.0185</f>
        <v>5231.0159999999996</v>
      </c>
      <c r="I37">
        <f t="shared" ref="I37:I45" si="30">H37*P37/1000</f>
        <v>55.728633907931275</v>
      </c>
      <c r="J37" s="2">
        <v>90232</v>
      </c>
      <c r="K37" s="2">
        <f t="shared" ref="K37:K45" si="31">(M37-M36)*1.0185</f>
        <v>5060.9264999999996</v>
      </c>
      <c r="L37">
        <f t="shared" ref="L37:L45" si="32">K37*P37/1000</f>
        <v>53.916585258666373</v>
      </c>
      <c r="M37" s="2">
        <v>280648</v>
      </c>
      <c r="N37" s="1">
        <f>R37+S37+T37</f>
        <v>78766.77</v>
      </c>
      <c r="O37" s="1">
        <f>N37*1.21</f>
        <v>95307.791700000002</v>
      </c>
      <c r="P37" s="8">
        <v>10.653500946648085</v>
      </c>
      <c r="R37" s="1">
        <f t="shared" ref="R37" si="33">30.6*(C37+F37+I37+L37)</f>
        <v>3355.1437064978886</v>
      </c>
      <c r="S37" s="1">
        <f t="shared" ref="S37" si="34">243024.28/12*0.62017</f>
        <v>12559.697310633333</v>
      </c>
      <c r="T37" s="1">
        <f t="shared" ref="T37" si="35">(528+42.82+2.41)*(C37+F37+I37+L37)</f>
        <v>62851.928982868776</v>
      </c>
      <c r="W37" s="1"/>
      <c r="X37" s="1"/>
      <c r="Z37" s="1"/>
      <c r="AA37" s="1"/>
      <c r="AB37" s="1"/>
      <c r="AC37" s="1"/>
    </row>
    <row r="38" spans="1:29" x14ac:dyDescent="0.25">
      <c r="A38" t="s">
        <v>1</v>
      </c>
      <c r="B38" s="2"/>
      <c r="D38" s="2"/>
      <c r="E38" s="2"/>
      <c r="G38" s="2"/>
      <c r="H38" s="2">
        <f t="shared" si="29"/>
        <v>3758.2649999999999</v>
      </c>
      <c r="I38">
        <f t="shared" si="30"/>
        <v>40.057091675999999</v>
      </c>
      <c r="J38" s="2">
        <v>93922</v>
      </c>
      <c r="K38" s="2">
        <f t="shared" si="31"/>
        <v>4341.8654999999999</v>
      </c>
      <c r="L38">
        <f t="shared" si="32"/>
        <v>46.277339245199997</v>
      </c>
      <c r="M38" s="2">
        <v>284911</v>
      </c>
      <c r="N38" s="1">
        <f t="shared" ref="N38:N48" si="36">R38+S38+T38</f>
        <v>64691.016733781522</v>
      </c>
      <c r="O38" s="1">
        <f t="shared" ref="O38:O48" si="37">N38*1.21</f>
        <v>78276.130247875641</v>
      </c>
      <c r="P38" s="8">
        <v>10.6584</v>
      </c>
      <c r="R38" s="1">
        <f t="shared" ref="R38" si="38">30.6*(C38+F38+I38+L38)</f>
        <v>2641.8335861887199</v>
      </c>
      <c r="S38" s="1">
        <f>243024.28/12*0.62017</f>
        <v>12559.697310633333</v>
      </c>
      <c r="T38" s="1">
        <f>(528+42.82+2.41)*(C38+F38+I38+L38)</f>
        <v>49489.485836959473</v>
      </c>
      <c r="W38" s="1"/>
      <c r="X38" s="1"/>
      <c r="Z38" s="1"/>
      <c r="AA38" s="1"/>
      <c r="AB38" s="1"/>
      <c r="AC38" s="1"/>
    </row>
    <row r="39" spans="1:29" x14ac:dyDescent="0.25">
      <c r="A39" t="s">
        <v>2</v>
      </c>
      <c r="B39" s="2"/>
      <c r="D39" s="2"/>
      <c r="E39" s="2"/>
      <c r="G39" s="2"/>
      <c r="H39" s="2">
        <f t="shared" si="29"/>
        <v>2066.5364999999997</v>
      </c>
      <c r="I39">
        <f t="shared" si="30"/>
        <v>22.033205509349994</v>
      </c>
      <c r="J39" s="2">
        <v>95951</v>
      </c>
      <c r="K39" s="2">
        <f t="shared" si="31"/>
        <v>3020.8710000000001</v>
      </c>
      <c r="L39">
        <f t="shared" si="32"/>
        <v>32.208224514899996</v>
      </c>
      <c r="M39" s="2">
        <v>287877</v>
      </c>
      <c r="N39" s="1">
        <f t="shared" si="36"/>
        <v>45312.300002176213</v>
      </c>
      <c r="O39" s="1">
        <f t="shared" si="37"/>
        <v>54827.883002633214</v>
      </c>
      <c r="P39" s="8">
        <v>10.661899999999999</v>
      </c>
      <c r="R39" s="1">
        <f t="shared" ref="R39:R40" si="39">30.6*(C39+F39+I39+L39)</f>
        <v>1659.7877587420498</v>
      </c>
      <c r="S39" s="1">
        <f t="shared" ref="S39" si="40">243024.28/12*0.62017</f>
        <v>12559.697310633333</v>
      </c>
      <c r="T39" s="1">
        <f t="shared" ref="T39:T40" si="41">(528+42.82+2.41)*(C39+F39+I39+L39)</f>
        <v>31092.814932800826</v>
      </c>
      <c r="W39" s="1"/>
      <c r="X39" s="1"/>
      <c r="Z39" s="1"/>
      <c r="AA39" s="1"/>
      <c r="AB39" s="1"/>
      <c r="AC39" s="1"/>
    </row>
    <row r="40" spans="1:29" x14ac:dyDescent="0.25">
      <c r="A40" t="s">
        <v>3</v>
      </c>
      <c r="B40" s="2"/>
      <c r="D40" s="2"/>
      <c r="E40" s="2"/>
      <c r="G40" s="2"/>
      <c r="H40" s="2">
        <f t="shared" si="29"/>
        <v>1479.8805</v>
      </c>
      <c r="I40">
        <f t="shared" si="30"/>
        <v>15.791064875250001</v>
      </c>
      <c r="J40" s="2">
        <v>97404</v>
      </c>
      <c r="K40" s="2">
        <f t="shared" si="31"/>
        <v>566.28599999999994</v>
      </c>
      <c r="L40">
        <f t="shared" si="32"/>
        <v>6.0425547630000001</v>
      </c>
      <c r="M40" s="2">
        <v>288433</v>
      </c>
      <c r="N40" s="1">
        <f t="shared" si="36"/>
        <v>23358.123882314496</v>
      </c>
      <c r="O40" s="1">
        <f t="shared" si="37"/>
        <v>28263.329897600539</v>
      </c>
      <c r="P40" s="8">
        <v>10.670500000000001</v>
      </c>
      <c r="R40" s="1">
        <f t="shared" si="39"/>
        <v>668.10876093044999</v>
      </c>
      <c r="S40" s="1">
        <f>246083.67/12*0.49614</f>
        <v>10174.32933615</v>
      </c>
      <c r="T40" s="1">
        <f t="shared" si="41"/>
        <v>12515.685785234047</v>
      </c>
      <c r="W40" s="1"/>
      <c r="X40" s="1"/>
      <c r="Z40" s="1"/>
      <c r="AA40" s="1"/>
      <c r="AB40" s="1"/>
      <c r="AC40" s="1"/>
    </row>
    <row r="41" spans="1:29" x14ac:dyDescent="0.25">
      <c r="A41" t="s">
        <v>4</v>
      </c>
      <c r="B41" s="2"/>
      <c r="D41" s="2"/>
      <c r="E41" s="2"/>
      <c r="G41" s="2"/>
      <c r="H41" s="2">
        <f t="shared" si="29"/>
        <v>1141.7384999999999</v>
      </c>
      <c r="I41">
        <f t="shared" si="30"/>
        <v>12.1866884013</v>
      </c>
      <c r="J41" s="2">
        <v>98525</v>
      </c>
      <c r="K41" s="2">
        <f t="shared" si="31"/>
        <v>202.6815</v>
      </c>
      <c r="L41">
        <f t="shared" si="32"/>
        <v>2.1633817946999998</v>
      </c>
      <c r="M41" s="2">
        <v>288632</v>
      </c>
      <c r="N41" s="1">
        <f t="shared" si="36"/>
        <v>18839.332222600679</v>
      </c>
      <c r="O41" s="1">
        <f t="shared" si="37"/>
        <v>22795.59198934682</v>
      </c>
      <c r="P41" s="8">
        <v>10.6738</v>
      </c>
      <c r="R41" s="1">
        <f t="shared" ref="R41:R42" si="42">30.6*(C41+F41+I41+L41)</f>
        <v>439.1121479976</v>
      </c>
      <c r="S41" s="1">
        <f t="shared" ref="S41" si="43">246083.67/12*0.49614</f>
        <v>10174.32933615</v>
      </c>
      <c r="T41" s="1">
        <f t="shared" ref="T41:T42" si="44">(528+42.82+2.41)*(C41+F41+I41+L41)</f>
        <v>8225.8907384530794</v>
      </c>
      <c r="W41" s="1"/>
      <c r="X41" s="1"/>
      <c r="Z41" s="1"/>
      <c r="AA41" s="1"/>
      <c r="AB41" s="1"/>
      <c r="AC41" s="1"/>
    </row>
    <row r="42" spans="1:29" x14ac:dyDescent="0.25">
      <c r="A42" t="s">
        <v>5</v>
      </c>
      <c r="B42" s="2"/>
      <c r="D42" s="2"/>
      <c r="E42" s="2"/>
      <c r="G42" s="2"/>
      <c r="H42" s="2">
        <f t="shared" si="29"/>
        <v>988.96349999999995</v>
      </c>
      <c r="I42">
        <f t="shared" si="30"/>
        <v>10.590018950699999</v>
      </c>
      <c r="J42" s="2">
        <v>99496</v>
      </c>
      <c r="K42" s="2">
        <f t="shared" si="31"/>
        <v>46.850999999999999</v>
      </c>
      <c r="L42">
        <f t="shared" si="32"/>
        <v>0.50168987819999999</v>
      </c>
      <c r="M42" s="2">
        <v>288678</v>
      </c>
      <c r="N42" s="1">
        <f t="shared" si="36"/>
        <v>19257.203852788021</v>
      </c>
      <c r="O42" s="1">
        <f t="shared" si="37"/>
        <v>23301.216661873506</v>
      </c>
      <c r="P42" s="8">
        <v>10.7082</v>
      </c>
      <c r="R42" s="1">
        <f t="shared" si="42"/>
        <v>339.40629016434002</v>
      </c>
      <c r="S42" s="1">
        <f>243024.28/12*0.62017</f>
        <v>12559.697310633333</v>
      </c>
      <c r="T42" s="1">
        <f t="shared" si="44"/>
        <v>6358.1002519903468</v>
      </c>
      <c r="W42" s="1"/>
      <c r="X42" s="1"/>
      <c r="Z42" s="1"/>
      <c r="AA42" s="1"/>
      <c r="AB42" s="1"/>
      <c r="AC42" s="1"/>
    </row>
    <row r="43" spans="1:29" x14ac:dyDescent="0.25">
      <c r="A43" t="s">
        <v>6</v>
      </c>
      <c r="B43" s="2"/>
      <c r="D43" s="2"/>
      <c r="E43" s="2"/>
      <c r="G43" s="2"/>
      <c r="H43" s="2">
        <f t="shared" si="29"/>
        <v>75.369</v>
      </c>
      <c r="I43">
        <f t="shared" si="30"/>
        <v>0.80639554169999994</v>
      </c>
      <c r="J43" s="2">
        <v>99570</v>
      </c>
      <c r="K43" s="2">
        <f t="shared" si="31"/>
        <v>0</v>
      </c>
      <c r="L43">
        <f t="shared" si="32"/>
        <v>0</v>
      </c>
      <c r="M43" s="2">
        <v>288678</v>
      </c>
      <c r="N43" s="1">
        <f t="shared" si="36"/>
        <v>13046.623130578044</v>
      </c>
      <c r="O43" s="1">
        <f t="shared" si="37"/>
        <v>15786.413987999433</v>
      </c>
      <c r="P43" s="8">
        <v>10.699299999999999</v>
      </c>
      <c r="R43" s="1">
        <f t="shared" ref="R43:R48" si="45">30.6*(C43+F43+I43+L43)</f>
        <v>24.675703576019998</v>
      </c>
      <c r="S43" s="1">
        <f t="shared" ref="S43:S48" si="46">243024.28/12*0.62017</f>
        <v>12559.697310633333</v>
      </c>
      <c r="T43" s="1">
        <f t="shared" ref="T43:T48" si="47">(528+42.82+2.41)*(C43+F43+I43+L43)</f>
        <v>462.25011636869095</v>
      </c>
      <c r="W43" s="1"/>
      <c r="X43" s="1"/>
      <c r="Z43" s="1"/>
      <c r="AA43" s="1"/>
      <c r="AB43" s="1"/>
      <c r="AC43" s="1"/>
    </row>
    <row r="44" spans="1:29" x14ac:dyDescent="0.25">
      <c r="A44" t="s">
        <v>7</v>
      </c>
      <c r="B44" s="2"/>
      <c r="D44" s="2"/>
      <c r="E44" s="2"/>
      <c r="G44" s="2"/>
      <c r="H44" s="2">
        <f t="shared" si="29"/>
        <v>326.93849999999998</v>
      </c>
      <c r="I44">
        <f t="shared" si="30"/>
        <v>3.5106002252999997</v>
      </c>
      <c r="J44" s="2">
        <v>99891</v>
      </c>
      <c r="K44" s="2">
        <f t="shared" si="31"/>
        <v>0</v>
      </c>
      <c r="L44">
        <f t="shared" si="32"/>
        <v>0</v>
      </c>
      <c r="M44" s="2">
        <v>288678</v>
      </c>
      <c r="N44" s="1">
        <f t="shared" si="36"/>
        <v>14679.503044676232</v>
      </c>
      <c r="O44" s="1">
        <f t="shared" si="37"/>
        <v>17762.198684058239</v>
      </c>
      <c r="P44" s="8">
        <v>10.7378</v>
      </c>
      <c r="R44" s="1">
        <f t="shared" si="45"/>
        <v>107.42436689418</v>
      </c>
      <c r="S44" s="1">
        <f t="shared" si="46"/>
        <v>12559.697310633333</v>
      </c>
      <c r="T44" s="1">
        <f t="shared" si="47"/>
        <v>2012.3813671487189</v>
      </c>
      <c r="W44" s="1"/>
      <c r="X44" s="1"/>
      <c r="Z44" s="1"/>
      <c r="AA44" s="1"/>
      <c r="AB44" s="1"/>
      <c r="AC44" s="1"/>
    </row>
    <row r="45" spans="1:29" x14ac:dyDescent="0.25">
      <c r="A45" t="s">
        <v>8</v>
      </c>
      <c r="B45" s="2"/>
      <c r="D45" s="2"/>
      <c r="E45" s="2"/>
      <c r="G45" s="2"/>
      <c r="H45" s="2">
        <f t="shared" si="29"/>
        <v>1050.0735</v>
      </c>
      <c r="I45">
        <f t="shared" si="30"/>
        <v>11.269913838749998</v>
      </c>
      <c r="J45" s="2">
        <v>100922</v>
      </c>
      <c r="K45" s="2">
        <f t="shared" si="31"/>
        <v>10.184999999999999</v>
      </c>
      <c r="L45">
        <f t="shared" si="32"/>
        <v>0.10931051249999998</v>
      </c>
      <c r="M45" s="2">
        <v>288688</v>
      </c>
      <c r="N45" s="1">
        <f t="shared" si="36"/>
        <v>19430.814350648619</v>
      </c>
      <c r="O45" s="1">
        <f t="shared" si="37"/>
        <v>23511.285364284828</v>
      </c>
      <c r="P45" s="8">
        <v>10.7325</v>
      </c>
      <c r="R45" s="1">
        <f t="shared" si="45"/>
        <v>348.20426514824999</v>
      </c>
      <c r="S45" s="1">
        <f t="shared" si="46"/>
        <v>12559.697310633333</v>
      </c>
      <c r="T45" s="1">
        <f t="shared" si="47"/>
        <v>6522.9127748670371</v>
      </c>
      <c r="W45" s="1"/>
      <c r="X45" s="1"/>
      <c r="Z45" s="1"/>
      <c r="AA45" s="1"/>
      <c r="AB45" s="1"/>
      <c r="AC45" s="1"/>
    </row>
    <row r="46" spans="1:29" x14ac:dyDescent="0.25">
      <c r="A46" t="s">
        <v>9</v>
      </c>
      <c r="B46" s="2"/>
      <c r="D46" s="2"/>
      <c r="E46" s="2"/>
      <c r="G46" s="2"/>
      <c r="H46" s="2">
        <f>(J46-J45)*1.0185</f>
        <v>1944.3164999999999</v>
      </c>
      <c r="I46">
        <f>H46*P46/1000</f>
        <v>20.777160550649999</v>
      </c>
      <c r="J46" s="2">
        <v>102831</v>
      </c>
      <c r="K46" s="2">
        <f>(M46-M45)*1.0185</f>
        <v>1403.4929999999999</v>
      </c>
      <c r="L46">
        <f>K46*P46/1000</f>
        <v>14.997866547299997</v>
      </c>
      <c r="M46" s="2">
        <v>290066</v>
      </c>
      <c r="N46" s="1">
        <f t="shared" si="36"/>
        <v>34161.731923188483</v>
      </c>
      <c r="O46" s="1">
        <f t="shared" si="37"/>
        <v>41335.695627058063</v>
      </c>
      <c r="P46" s="8">
        <v>10.6861</v>
      </c>
      <c r="R46" s="1">
        <f t="shared" si="45"/>
        <v>1094.7158291972698</v>
      </c>
      <c r="S46" s="1">
        <f t="shared" si="46"/>
        <v>12559.697310633333</v>
      </c>
      <c r="T46" s="1">
        <f t="shared" si="47"/>
        <v>20507.318783357878</v>
      </c>
      <c r="W46" s="1"/>
      <c r="X46" s="1"/>
      <c r="Z46" s="1"/>
      <c r="AA46" s="1"/>
      <c r="AB46" s="1"/>
      <c r="AC46" s="1"/>
    </row>
    <row r="47" spans="1:29" x14ac:dyDescent="0.25">
      <c r="A47" t="s">
        <v>10</v>
      </c>
      <c r="B47" s="2"/>
      <c r="D47" s="2"/>
      <c r="E47" s="2"/>
      <c r="G47" s="2"/>
      <c r="H47" s="2">
        <f t="shared" ref="H47:H48" si="48">(J47-J46)*1.0185</f>
        <v>3503.64</v>
      </c>
      <c r="I47">
        <f t="shared" ref="I47:I48" si="49">H47*P47/1000</f>
        <v>37.401357000000004</v>
      </c>
      <c r="J47" s="2">
        <v>106271</v>
      </c>
      <c r="K47" s="2">
        <f t="shared" ref="K47:K48" si="50">(M47-M46)*1.0185</f>
        <v>4106.5919999999996</v>
      </c>
      <c r="L47">
        <f t="shared" ref="L47:L48" si="51">K47*P47/1000</f>
        <v>43.837869599999998</v>
      </c>
      <c r="M47" s="2">
        <v>294098</v>
      </c>
      <c r="N47" s="1">
        <f t="shared" si="36"/>
        <v>61614.379508511338</v>
      </c>
      <c r="O47" s="1">
        <f t="shared" si="37"/>
        <v>74553.399205298716</v>
      </c>
      <c r="P47" s="8">
        <v>10.675000000000001</v>
      </c>
      <c r="R47" s="1">
        <f t="shared" si="45"/>
        <v>2485.9203339599999</v>
      </c>
      <c r="S47" s="1">
        <f t="shared" si="46"/>
        <v>12559.697310633333</v>
      </c>
      <c r="T47" s="1">
        <f t="shared" si="47"/>
        <v>46568.761863918</v>
      </c>
      <c r="W47" s="1"/>
      <c r="X47" s="1"/>
      <c r="Z47" s="1"/>
      <c r="AA47" s="1"/>
      <c r="AB47" s="1"/>
      <c r="AC47" s="1"/>
    </row>
    <row r="48" spans="1:29" x14ac:dyDescent="0.25">
      <c r="A48" t="s">
        <v>11</v>
      </c>
      <c r="B48" s="2"/>
      <c r="D48" s="2"/>
      <c r="E48" s="2"/>
      <c r="G48" s="2"/>
      <c r="H48" s="2">
        <f t="shared" si="48"/>
        <v>2316.069</v>
      </c>
      <c r="I48">
        <f t="shared" si="49"/>
        <v>24.725889430200002</v>
      </c>
      <c r="J48" s="2">
        <v>108545</v>
      </c>
      <c r="K48" s="2">
        <f t="shared" si="50"/>
        <v>7061.2604999999994</v>
      </c>
      <c r="L48">
        <f t="shared" si="51"/>
        <v>75.3846048459</v>
      </c>
      <c r="M48" s="2">
        <v>301031</v>
      </c>
      <c r="N48" s="1">
        <f t="shared" si="36"/>
        <v>73009.4170693708</v>
      </c>
      <c r="O48" s="1">
        <f t="shared" si="37"/>
        <v>88341.394653938667</v>
      </c>
      <c r="P48" s="8">
        <v>10.675800000000001</v>
      </c>
      <c r="R48" s="1">
        <f t="shared" si="45"/>
        <v>3063.38112484866</v>
      </c>
      <c r="S48" s="1">
        <f t="shared" si="46"/>
        <v>12559.697310633333</v>
      </c>
      <c r="T48" s="1">
        <f t="shared" si="47"/>
        <v>57386.338633888801</v>
      </c>
      <c r="W48" s="1"/>
      <c r="X48" s="1"/>
      <c r="Z48" s="1"/>
      <c r="AA48" s="1"/>
      <c r="AB48" s="1"/>
      <c r="AC48" s="1"/>
    </row>
    <row r="49" spans="1:29" x14ac:dyDescent="0.25">
      <c r="A49" s="5"/>
      <c r="B49" s="6"/>
      <c r="C49" s="5"/>
      <c r="E49" s="6"/>
      <c r="F49" s="5"/>
      <c r="N49" s="7"/>
      <c r="O49" s="7"/>
      <c r="P49" s="7"/>
      <c r="R49" s="1"/>
      <c r="S49" s="1"/>
      <c r="T49" s="1"/>
      <c r="V49" s="5"/>
      <c r="W49" s="7"/>
      <c r="X49" s="7"/>
      <c r="Z49" s="1"/>
      <c r="AA49" s="1"/>
      <c r="AB49" s="1"/>
      <c r="AC49" s="1"/>
    </row>
    <row r="50" spans="1:29" x14ac:dyDescent="0.25">
      <c r="B50" t="s">
        <v>15</v>
      </c>
      <c r="C50" t="s">
        <v>14</v>
      </c>
    </row>
    <row r="51" spans="1:29" x14ac:dyDescent="0.25">
      <c r="A51">
        <v>2018</v>
      </c>
      <c r="B51" s="2">
        <f>SUM(B3:B14)+SUM(E3:E14)+SUM(H3:H14)+SUM(K3:K14)</f>
        <v>64053.465000000004</v>
      </c>
      <c r="C51" s="1">
        <f>SUM(O3:O14)</f>
        <v>643705.50158416736</v>
      </c>
    </row>
    <row r="52" spans="1:29" x14ac:dyDescent="0.25">
      <c r="A52">
        <v>2019</v>
      </c>
      <c r="B52" s="2">
        <f>SUM(B20:B31)+SUM(E20:E31)+SUM(H20:H31)+SUM(K20:K31)</f>
        <v>62549.140499999994</v>
      </c>
      <c r="C52" s="1">
        <f>SUM(O20:O31)</f>
        <v>765055.41658641619</v>
      </c>
    </row>
    <row r="53" spans="1:29" x14ac:dyDescent="0.25">
      <c r="A53">
        <v>2020</v>
      </c>
      <c r="B53" s="2">
        <f>SUM(B37:B48)+SUM(E37:E48)+SUM(H37:H48)+SUM(K37:K48)</f>
        <v>49703.818500000001</v>
      </c>
      <c r="C53" s="1">
        <f>SUM(O37:O48)</f>
        <v>564062.33102196769</v>
      </c>
    </row>
    <row r="66" spans="2:3" x14ac:dyDescent="0.25">
      <c r="B66" s="2"/>
      <c r="C66" s="1"/>
    </row>
    <row r="67" spans="2:3" x14ac:dyDescent="0.25">
      <c r="B67" s="2"/>
      <c r="C67" s="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opLeftCell="A22" workbookViewId="0">
      <selection activeCell="D62" sqref="D62"/>
    </sheetView>
  </sheetViews>
  <sheetFormatPr defaultRowHeight="15" x14ac:dyDescent="0.25"/>
  <cols>
    <col min="3" max="3" width="10" bestFit="1" customWidth="1"/>
    <col min="8" max="8" width="10" bestFit="1" customWidth="1"/>
  </cols>
  <sheetData>
    <row r="1" spans="1:11" x14ac:dyDescent="0.25">
      <c r="A1" s="9" t="s">
        <v>24</v>
      </c>
      <c r="B1" s="9">
        <v>1012782</v>
      </c>
      <c r="C1" s="10" t="s">
        <v>46</v>
      </c>
      <c r="D1" t="s">
        <v>38</v>
      </c>
      <c r="G1" s="9" t="s">
        <v>24</v>
      </c>
      <c r="H1" s="9">
        <v>201632791</v>
      </c>
      <c r="I1" s="10" t="s">
        <v>45</v>
      </c>
      <c r="J1" t="s">
        <v>39</v>
      </c>
    </row>
    <row r="2" spans="1:11" x14ac:dyDescent="0.25">
      <c r="C2" t="s">
        <v>20</v>
      </c>
      <c r="E2" t="s">
        <v>37</v>
      </c>
      <c r="I2" t="s">
        <v>20</v>
      </c>
      <c r="K2" t="s">
        <v>37</v>
      </c>
    </row>
    <row r="3" spans="1:11" x14ac:dyDescent="0.25">
      <c r="A3">
        <v>2018</v>
      </c>
      <c r="B3" t="s">
        <v>15</v>
      </c>
      <c r="C3" t="s">
        <v>14</v>
      </c>
      <c r="E3">
        <v>1033</v>
      </c>
      <c r="G3">
        <v>2018</v>
      </c>
      <c r="H3" t="s">
        <v>15</v>
      </c>
      <c r="I3" t="s">
        <v>14</v>
      </c>
      <c r="K3">
        <v>603</v>
      </c>
    </row>
    <row r="4" spans="1:11" x14ac:dyDescent="0.25">
      <c r="A4" t="s">
        <v>0</v>
      </c>
      <c r="B4">
        <f t="shared" ref="B4:B15" si="0">E4-E3</f>
        <v>159</v>
      </c>
      <c r="C4" s="1">
        <f>B4*(43.55+35.85)*1.15</f>
        <v>14518.289999999999</v>
      </c>
      <c r="E4">
        <v>1192</v>
      </c>
      <c r="G4" t="s">
        <v>0</v>
      </c>
      <c r="H4">
        <f t="shared" ref="H4:H15" si="1">K4-K3</f>
        <v>46</v>
      </c>
      <c r="I4" s="1">
        <f>H4*(43.55+35.85)*1.15</f>
        <v>4200.26</v>
      </c>
      <c r="K4">
        <v>649</v>
      </c>
    </row>
    <row r="5" spans="1:11" x14ac:dyDescent="0.25">
      <c r="A5" t="s">
        <v>1</v>
      </c>
      <c r="B5">
        <f t="shared" si="0"/>
        <v>121</v>
      </c>
      <c r="C5" s="1">
        <f t="shared" ref="C5:C15" si="2">B5*(43.55+35.85)*1.15</f>
        <v>11048.51</v>
      </c>
      <c r="E5">
        <v>1313</v>
      </c>
      <c r="G5" t="s">
        <v>1</v>
      </c>
      <c r="H5">
        <f t="shared" si="1"/>
        <v>62</v>
      </c>
      <c r="I5" s="1">
        <f t="shared" ref="I5:I15" si="3">H5*(43.55+35.85)*1.15</f>
        <v>5661.2199999999993</v>
      </c>
      <c r="K5">
        <v>711</v>
      </c>
    </row>
    <row r="6" spans="1:11" x14ac:dyDescent="0.25">
      <c r="A6" t="s">
        <v>2</v>
      </c>
      <c r="B6">
        <f t="shared" si="0"/>
        <v>104</v>
      </c>
      <c r="C6" s="1">
        <f t="shared" si="2"/>
        <v>9496.24</v>
      </c>
      <c r="E6">
        <v>1417</v>
      </c>
      <c r="G6" t="s">
        <v>2</v>
      </c>
      <c r="H6">
        <f t="shared" si="1"/>
        <v>61</v>
      </c>
      <c r="I6" s="1">
        <f t="shared" si="3"/>
        <v>5569.91</v>
      </c>
      <c r="K6">
        <v>772</v>
      </c>
    </row>
    <row r="7" spans="1:11" x14ac:dyDescent="0.25">
      <c r="A7" t="s">
        <v>3</v>
      </c>
      <c r="B7">
        <f t="shared" si="0"/>
        <v>3</v>
      </c>
      <c r="C7" s="1">
        <f t="shared" si="2"/>
        <v>273.93</v>
      </c>
      <c r="E7">
        <v>1420</v>
      </c>
      <c r="G7" t="s">
        <v>3</v>
      </c>
      <c r="H7">
        <f t="shared" si="1"/>
        <v>71</v>
      </c>
      <c r="I7" s="1">
        <f t="shared" si="3"/>
        <v>6483.01</v>
      </c>
      <c r="K7">
        <v>843</v>
      </c>
    </row>
    <row r="8" spans="1:11" x14ac:dyDescent="0.25">
      <c r="A8" t="s">
        <v>4</v>
      </c>
      <c r="B8">
        <f t="shared" si="0"/>
        <v>248</v>
      </c>
      <c r="C8" s="1">
        <f t="shared" si="2"/>
        <v>22644.879999999997</v>
      </c>
      <c r="E8">
        <v>1668</v>
      </c>
      <c r="G8" t="s">
        <v>4</v>
      </c>
      <c r="H8">
        <f t="shared" si="1"/>
        <v>61</v>
      </c>
      <c r="I8" s="1">
        <f t="shared" si="3"/>
        <v>5569.91</v>
      </c>
      <c r="K8">
        <v>904</v>
      </c>
    </row>
    <row r="9" spans="1:11" x14ac:dyDescent="0.25">
      <c r="A9" t="s">
        <v>5</v>
      </c>
      <c r="B9">
        <f t="shared" si="0"/>
        <v>8</v>
      </c>
      <c r="C9" s="1">
        <f t="shared" si="2"/>
        <v>730.48</v>
      </c>
      <c r="E9">
        <v>1676</v>
      </c>
      <c r="G9" t="s">
        <v>5</v>
      </c>
      <c r="H9">
        <f t="shared" si="1"/>
        <v>41</v>
      </c>
      <c r="I9" s="1">
        <f t="shared" si="3"/>
        <v>3743.71</v>
      </c>
      <c r="K9">
        <v>945</v>
      </c>
    </row>
    <row r="10" spans="1:11" x14ac:dyDescent="0.25">
      <c r="A10" t="s">
        <v>6</v>
      </c>
      <c r="B10">
        <f t="shared" si="0"/>
        <v>1</v>
      </c>
      <c r="C10" s="1">
        <f t="shared" si="2"/>
        <v>91.31</v>
      </c>
      <c r="E10">
        <v>1677</v>
      </c>
      <c r="G10" t="s">
        <v>6</v>
      </c>
      <c r="H10">
        <f t="shared" si="1"/>
        <v>5</v>
      </c>
      <c r="I10" s="1">
        <f t="shared" si="3"/>
        <v>456.54999999999995</v>
      </c>
      <c r="K10">
        <v>950</v>
      </c>
    </row>
    <row r="11" spans="1:11" x14ac:dyDescent="0.25">
      <c r="A11" t="s">
        <v>7</v>
      </c>
      <c r="B11">
        <f t="shared" si="0"/>
        <v>159</v>
      </c>
      <c r="C11" s="1">
        <f t="shared" si="2"/>
        <v>14518.289999999999</v>
      </c>
      <c r="E11">
        <v>1836</v>
      </c>
      <c r="G11" t="s">
        <v>7</v>
      </c>
      <c r="H11">
        <f t="shared" si="1"/>
        <v>37</v>
      </c>
      <c r="I11" s="1">
        <f t="shared" si="3"/>
        <v>3378.47</v>
      </c>
      <c r="K11">
        <v>987</v>
      </c>
    </row>
    <row r="12" spans="1:11" x14ac:dyDescent="0.25">
      <c r="A12" t="s">
        <v>8</v>
      </c>
      <c r="B12">
        <f t="shared" si="0"/>
        <v>109</v>
      </c>
      <c r="C12" s="1">
        <f t="shared" si="2"/>
        <v>9952.7899999999991</v>
      </c>
      <c r="E12">
        <v>1945</v>
      </c>
      <c r="G12" t="s">
        <v>8</v>
      </c>
      <c r="H12">
        <f t="shared" si="1"/>
        <v>48</v>
      </c>
      <c r="I12" s="1">
        <f t="shared" si="3"/>
        <v>4382.88</v>
      </c>
      <c r="K12">
        <v>1035</v>
      </c>
    </row>
    <row r="13" spans="1:11" x14ac:dyDescent="0.25">
      <c r="A13" t="s">
        <v>9</v>
      </c>
      <c r="B13">
        <f t="shared" si="0"/>
        <v>130</v>
      </c>
      <c r="C13" s="1">
        <f t="shared" si="2"/>
        <v>11870.3</v>
      </c>
      <c r="E13">
        <v>2075</v>
      </c>
      <c r="G13" t="s">
        <v>9</v>
      </c>
      <c r="H13">
        <f t="shared" si="1"/>
        <v>64</v>
      </c>
      <c r="I13" s="1">
        <f t="shared" si="3"/>
        <v>5843.84</v>
      </c>
      <c r="K13">
        <v>1099</v>
      </c>
    </row>
    <row r="14" spans="1:11" x14ac:dyDescent="0.25">
      <c r="A14" t="s">
        <v>10</v>
      </c>
      <c r="B14">
        <f t="shared" si="0"/>
        <v>133</v>
      </c>
      <c r="C14" s="1">
        <f t="shared" si="2"/>
        <v>12144.23</v>
      </c>
      <c r="E14">
        <v>2208</v>
      </c>
      <c r="G14" t="s">
        <v>10</v>
      </c>
      <c r="H14">
        <f t="shared" si="1"/>
        <v>72</v>
      </c>
      <c r="I14" s="1">
        <f t="shared" si="3"/>
        <v>6574.32</v>
      </c>
      <c r="K14">
        <v>1171</v>
      </c>
    </row>
    <row r="15" spans="1:11" x14ac:dyDescent="0.25">
      <c r="A15" t="s">
        <v>11</v>
      </c>
      <c r="B15">
        <f t="shared" si="0"/>
        <v>134</v>
      </c>
      <c r="C15" s="1">
        <f t="shared" si="2"/>
        <v>12235.539999999999</v>
      </c>
      <c r="E15">
        <v>2342</v>
      </c>
      <c r="G15" t="s">
        <v>11</v>
      </c>
      <c r="H15">
        <f t="shared" si="1"/>
        <v>64</v>
      </c>
      <c r="I15" s="1">
        <f t="shared" si="3"/>
        <v>5843.84</v>
      </c>
      <c r="K15">
        <v>1235</v>
      </c>
    </row>
    <row r="16" spans="1:11" x14ac:dyDescent="0.25">
      <c r="B16">
        <f>SUM(B4:B15)</f>
        <v>1309</v>
      </c>
      <c r="C16" s="1">
        <f>SUM(C4:C15)</f>
        <v>119524.78999999998</v>
      </c>
      <c r="H16">
        <f>SUM(H4:H15)</f>
        <v>632</v>
      </c>
      <c r="I16" s="1">
        <f>SUM(I4:I15)</f>
        <v>57707.92</v>
      </c>
    </row>
    <row r="18" spans="1:11" x14ac:dyDescent="0.25">
      <c r="C18" t="s">
        <v>20</v>
      </c>
      <c r="I18" t="s">
        <v>20</v>
      </c>
    </row>
    <row r="19" spans="1:11" x14ac:dyDescent="0.25">
      <c r="A19">
        <v>2019</v>
      </c>
      <c r="B19" t="s">
        <v>15</v>
      </c>
      <c r="C19" t="s">
        <v>14</v>
      </c>
      <c r="E19">
        <f>E15</f>
        <v>2342</v>
      </c>
      <c r="G19">
        <v>2019</v>
      </c>
      <c r="H19" t="s">
        <v>15</v>
      </c>
      <c r="I19" t="s">
        <v>14</v>
      </c>
      <c r="K19">
        <f>K15</f>
        <v>1235</v>
      </c>
    </row>
    <row r="20" spans="1:11" x14ac:dyDescent="0.25">
      <c r="A20" t="s">
        <v>0</v>
      </c>
      <c r="B20">
        <f>E20-E19</f>
        <v>113</v>
      </c>
      <c r="C20" s="1">
        <f>B20*(45.53+37.48)*1.15</f>
        <v>10787.149499999998</v>
      </c>
      <c r="E20">
        <v>2455</v>
      </c>
      <c r="G20" t="s">
        <v>0</v>
      </c>
      <c r="H20">
        <f>K20-K19</f>
        <v>61</v>
      </c>
      <c r="I20" s="1">
        <f>H20*(45.53+37.48)*1.15</f>
        <v>5823.151499999999</v>
      </c>
      <c r="K20">
        <v>1296</v>
      </c>
    </row>
    <row r="21" spans="1:11" x14ac:dyDescent="0.25">
      <c r="A21" t="s">
        <v>1</v>
      </c>
      <c r="B21">
        <f t="shared" ref="B21:B31" si="4">E21-E20</f>
        <v>112</v>
      </c>
      <c r="C21" s="1">
        <f t="shared" ref="C21:C31" si="5">B21*(45.53+37.48)*1.15</f>
        <v>10691.687999999998</v>
      </c>
      <c r="E21">
        <v>2567</v>
      </c>
      <c r="G21" t="s">
        <v>1</v>
      </c>
      <c r="H21">
        <f t="shared" ref="H21:H31" si="6">K21-K20</f>
        <v>64</v>
      </c>
      <c r="I21" s="1">
        <f t="shared" ref="I21:I31" si="7">H21*(45.53+37.48)*1.15</f>
        <v>6109.5359999999991</v>
      </c>
      <c r="K21">
        <v>1360</v>
      </c>
    </row>
    <row r="22" spans="1:11" x14ac:dyDescent="0.25">
      <c r="A22" t="s">
        <v>2</v>
      </c>
      <c r="B22">
        <f t="shared" si="4"/>
        <v>83</v>
      </c>
      <c r="C22" s="1">
        <f t="shared" si="5"/>
        <v>7923.3044999999984</v>
      </c>
      <c r="E22">
        <v>2650</v>
      </c>
      <c r="G22" t="s">
        <v>2</v>
      </c>
      <c r="H22">
        <f t="shared" si="6"/>
        <v>64</v>
      </c>
      <c r="I22" s="1">
        <f t="shared" si="7"/>
        <v>6109.5359999999991</v>
      </c>
      <c r="K22">
        <v>1424</v>
      </c>
    </row>
    <row r="23" spans="1:11" x14ac:dyDescent="0.25">
      <c r="A23" t="s">
        <v>3</v>
      </c>
      <c r="B23">
        <f t="shared" si="4"/>
        <v>136</v>
      </c>
      <c r="C23" s="1">
        <f t="shared" si="5"/>
        <v>12982.763999999997</v>
      </c>
      <c r="E23">
        <v>2786</v>
      </c>
      <c r="G23" t="s">
        <v>3</v>
      </c>
      <c r="H23">
        <f t="shared" si="6"/>
        <v>69</v>
      </c>
      <c r="I23" s="1">
        <f t="shared" si="7"/>
        <v>6586.843499999999</v>
      </c>
      <c r="K23">
        <v>1493</v>
      </c>
    </row>
    <row r="24" spans="1:11" x14ac:dyDescent="0.25">
      <c r="A24" t="s">
        <v>4</v>
      </c>
      <c r="B24">
        <f t="shared" si="4"/>
        <v>101</v>
      </c>
      <c r="C24" s="1">
        <f t="shared" si="5"/>
        <v>9641.6114999999972</v>
      </c>
      <c r="E24">
        <v>2887</v>
      </c>
      <c r="G24" t="s">
        <v>4</v>
      </c>
      <c r="H24">
        <f t="shared" si="6"/>
        <v>65</v>
      </c>
      <c r="I24" s="1">
        <f t="shared" si="7"/>
        <v>6204.9974999999995</v>
      </c>
      <c r="K24">
        <v>1558</v>
      </c>
    </row>
    <row r="25" spans="1:11" x14ac:dyDescent="0.25">
      <c r="A25" t="s">
        <v>5</v>
      </c>
      <c r="B25">
        <f t="shared" si="4"/>
        <v>109</v>
      </c>
      <c r="C25" s="1">
        <f t="shared" si="5"/>
        <v>10405.303499999998</v>
      </c>
      <c r="E25">
        <v>2996</v>
      </c>
      <c r="G25" t="s">
        <v>5</v>
      </c>
      <c r="H25">
        <f t="shared" si="6"/>
        <v>45</v>
      </c>
      <c r="I25" s="1">
        <f t="shared" si="7"/>
        <v>4295.767499999999</v>
      </c>
      <c r="K25">
        <v>1603</v>
      </c>
    </row>
    <row r="26" spans="1:11" x14ac:dyDescent="0.25">
      <c r="A26" t="s">
        <v>6</v>
      </c>
      <c r="B26">
        <f t="shared" si="4"/>
        <v>10</v>
      </c>
      <c r="C26" s="1">
        <f t="shared" si="5"/>
        <v>954.61499999999978</v>
      </c>
      <c r="E26">
        <v>3006</v>
      </c>
      <c r="G26" t="s">
        <v>6</v>
      </c>
      <c r="H26">
        <f t="shared" si="6"/>
        <v>5</v>
      </c>
      <c r="I26" s="1">
        <f t="shared" si="7"/>
        <v>477.30749999999989</v>
      </c>
      <c r="K26">
        <v>1608</v>
      </c>
    </row>
    <row r="27" spans="1:11" x14ac:dyDescent="0.25">
      <c r="A27" t="s">
        <v>7</v>
      </c>
      <c r="B27">
        <f t="shared" si="4"/>
        <v>82</v>
      </c>
      <c r="C27" s="1">
        <f t="shared" si="5"/>
        <v>7827.8429999999989</v>
      </c>
      <c r="E27">
        <v>3088</v>
      </c>
      <c r="G27" t="s">
        <v>7</v>
      </c>
      <c r="H27">
        <f t="shared" si="6"/>
        <v>62</v>
      </c>
      <c r="I27" s="1">
        <f t="shared" si="7"/>
        <v>5918.6129999999985</v>
      </c>
      <c r="K27">
        <v>1670</v>
      </c>
    </row>
    <row r="28" spans="1:11" x14ac:dyDescent="0.25">
      <c r="A28" t="s">
        <v>8</v>
      </c>
      <c r="B28">
        <f t="shared" si="4"/>
        <v>109</v>
      </c>
      <c r="C28" s="1">
        <f t="shared" si="5"/>
        <v>10405.303499999998</v>
      </c>
      <c r="E28">
        <v>3197</v>
      </c>
      <c r="G28" t="s">
        <v>8</v>
      </c>
      <c r="H28">
        <f t="shared" si="6"/>
        <v>53</v>
      </c>
      <c r="I28" s="1">
        <f t="shared" si="7"/>
        <v>5059.459499999999</v>
      </c>
      <c r="K28">
        <v>1723</v>
      </c>
    </row>
    <row r="29" spans="1:11" x14ac:dyDescent="0.25">
      <c r="A29" t="s">
        <v>9</v>
      </c>
      <c r="B29">
        <f t="shared" si="4"/>
        <v>123</v>
      </c>
      <c r="C29" s="1">
        <f t="shared" si="5"/>
        <v>11741.764499999999</v>
      </c>
      <c r="E29">
        <v>3320</v>
      </c>
      <c r="G29" t="s">
        <v>9</v>
      </c>
      <c r="H29">
        <f t="shared" si="6"/>
        <v>68</v>
      </c>
      <c r="I29" s="1">
        <f t="shared" si="7"/>
        <v>6491.3819999999987</v>
      </c>
      <c r="K29">
        <v>1791</v>
      </c>
    </row>
    <row r="30" spans="1:11" x14ac:dyDescent="0.25">
      <c r="A30" t="s">
        <v>10</v>
      </c>
      <c r="B30">
        <f t="shared" si="4"/>
        <v>121</v>
      </c>
      <c r="C30" s="1">
        <f t="shared" si="5"/>
        <v>11550.841499999999</v>
      </c>
      <c r="E30">
        <v>3441</v>
      </c>
      <c r="G30" t="s">
        <v>10</v>
      </c>
      <c r="H30">
        <f t="shared" si="6"/>
        <v>73</v>
      </c>
      <c r="I30" s="1">
        <f t="shared" si="7"/>
        <v>6968.6894999999986</v>
      </c>
      <c r="K30">
        <v>1864</v>
      </c>
    </row>
    <row r="31" spans="1:11" x14ac:dyDescent="0.25">
      <c r="A31" t="s">
        <v>11</v>
      </c>
      <c r="B31">
        <f t="shared" si="4"/>
        <v>96</v>
      </c>
      <c r="C31" s="1">
        <f t="shared" si="5"/>
        <v>9164.3039999999983</v>
      </c>
      <c r="E31">
        <v>3537</v>
      </c>
      <c r="G31" t="s">
        <v>11</v>
      </c>
      <c r="H31">
        <f t="shared" si="6"/>
        <v>49</v>
      </c>
      <c r="I31" s="1">
        <f t="shared" si="7"/>
        <v>4677.6134999999995</v>
      </c>
      <c r="K31">
        <v>1913</v>
      </c>
    </row>
    <row r="32" spans="1:11" x14ac:dyDescent="0.25">
      <c r="B32">
        <f>SUM(B20:B31)</f>
        <v>1195</v>
      </c>
      <c r="C32" s="1">
        <f>SUM(C20:C31)</f>
        <v>114076.49249999998</v>
      </c>
      <c r="H32">
        <f>SUM(H20:H31)</f>
        <v>678</v>
      </c>
      <c r="I32" s="1">
        <f>SUM(I20:I31)</f>
        <v>64722.89699999999</v>
      </c>
    </row>
    <row r="34" spans="1:11" x14ac:dyDescent="0.25">
      <c r="C34" t="s">
        <v>20</v>
      </c>
      <c r="I34" t="s">
        <v>20</v>
      </c>
    </row>
    <row r="35" spans="1:11" x14ac:dyDescent="0.25">
      <c r="A35">
        <v>2020</v>
      </c>
      <c r="B35" t="s">
        <v>15</v>
      </c>
      <c r="C35" t="s">
        <v>14</v>
      </c>
      <c r="E35">
        <f>E31</f>
        <v>3537</v>
      </c>
      <c r="G35">
        <v>2020</v>
      </c>
      <c r="H35" t="s">
        <v>15</v>
      </c>
      <c r="I35" t="s">
        <v>14</v>
      </c>
      <c r="K35">
        <f>K31</f>
        <v>1913</v>
      </c>
    </row>
    <row r="36" spans="1:11" x14ac:dyDescent="0.25">
      <c r="A36" t="s">
        <v>0</v>
      </c>
      <c r="B36">
        <f t="shared" ref="B36:B47" si="8">E36-E35</f>
        <v>112</v>
      </c>
      <c r="C36" s="1">
        <f>B36*(47.61+39.18)*1.15</f>
        <v>11178.551999999998</v>
      </c>
      <c r="E36">
        <v>3649</v>
      </c>
      <c r="G36" t="s">
        <v>0</v>
      </c>
      <c r="H36">
        <f t="shared" ref="H36:H47" si="9">K36-K35</f>
        <v>77</v>
      </c>
      <c r="I36" s="1">
        <f>H36*(47.61+39.18)*1.15</f>
        <v>7685.2544999999982</v>
      </c>
      <c r="K36">
        <v>1990</v>
      </c>
    </row>
    <row r="37" spans="1:11" x14ac:dyDescent="0.25">
      <c r="A37" t="s">
        <v>1</v>
      </c>
      <c r="B37">
        <f t="shared" si="8"/>
        <v>130</v>
      </c>
      <c r="C37" s="1">
        <f t="shared" ref="C37:C47" si="10">B37*(47.61+39.18)*1.15</f>
        <v>12975.104999999998</v>
      </c>
      <c r="E37">
        <v>3779</v>
      </c>
      <c r="G37" t="s">
        <v>1</v>
      </c>
      <c r="H37">
        <f t="shared" si="9"/>
        <v>83</v>
      </c>
      <c r="I37" s="1">
        <f t="shared" ref="I37:I47" si="11">H37*(47.61+39.18)*1.15</f>
        <v>8284.1054999999997</v>
      </c>
      <c r="K37">
        <v>2073</v>
      </c>
    </row>
    <row r="38" spans="1:11" x14ac:dyDescent="0.25">
      <c r="A38" t="s">
        <v>2</v>
      </c>
      <c r="B38">
        <f t="shared" si="8"/>
        <v>70</v>
      </c>
      <c r="C38" s="1">
        <f t="shared" si="10"/>
        <v>6986.5949999999984</v>
      </c>
      <c r="E38">
        <v>3849</v>
      </c>
      <c r="G38" t="s">
        <v>2</v>
      </c>
      <c r="H38">
        <f t="shared" si="9"/>
        <v>37</v>
      </c>
      <c r="I38" s="1">
        <f t="shared" si="11"/>
        <v>3692.9144999999994</v>
      </c>
      <c r="K38">
        <v>2110</v>
      </c>
    </row>
    <row r="39" spans="1:11" x14ac:dyDescent="0.25">
      <c r="A39" t="s">
        <v>3</v>
      </c>
      <c r="B39">
        <f t="shared" si="8"/>
        <v>36</v>
      </c>
      <c r="C39" s="1">
        <f t="shared" si="10"/>
        <v>3593.1059999999993</v>
      </c>
      <c r="E39">
        <v>3885</v>
      </c>
      <c r="G39" t="s">
        <v>3</v>
      </c>
      <c r="H39">
        <f t="shared" si="9"/>
        <v>19</v>
      </c>
      <c r="I39" s="1">
        <f t="shared" si="11"/>
        <v>1896.3614999999995</v>
      </c>
      <c r="K39">
        <v>2129</v>
      </c>
    </row>
    <row r="40" spans="1:11" x14ac:dyDescent="0.25">
      <c r="A40" t="s">
        <v>4</v>
      </c>
      <c r="B40">
        <f t="shared" si="8"/>
        <v>57</v>
      </c>
      <c r="C40" s="1">
        <f t="shared" si="10"/>
        <v>5689.084499999999</v>
      </c>
      <c r="E40">
        <v>3942</v>
      </c>
      <c r="G40" t="s">
        <v>4</v>
      </c>
      <c r="H40">
        <f t="shared" si="9"/>
        <v>23</v>
      </c>
      <c r="I40" s="1">
        <f t="shared" si="11"/>
        <v>2295.5954999999994</v>
      </c>
      <c r="K40">
        <v>2152</v>
      </c>
    </row>
    <row r="41" spans="1:11" x14ac:dyDescent="0.25">
      <c r="A41" t="s">
        <v>5</v>
      </c>
      <c r="B41">
        <f t="shared" si="8"/>
        <v>55</v>
      </c>
      <c r="C41" s="1">
        <f t="shared" si="10"/>
        <v>5489.4674999999997</v>
      </c>
      <c r="E41">
        <v>3997</v>
      </c>
      <c r="G41" t="s">
        <v>5</v>
      </c>
      <c r="H41">
        <f t="shared" si="9"/>
        <v>25</v>
      </c>
      <c r="I41" s="1">
        <f t="shared" si="11"/>
        <v>2495.2124999999996</v>
      </c>
      <c r="K41">
        <v>2177</v>
      </c>
    </row>
    <row r="42" spans="1:11" x14ac:dyDescent="0.25">
      <c r="A42" t="s">
        <v>6</v>
      </c>
      <c r="B42">
        <f t="shared" si="8"/>
        <v>26</v>
      </c>
      <c r="C42" s="1">
        <f t="shared" si="10"/>
        <v>2595.0209999999997</v>
      </c>
      <c r="E42">
        <v>4023</v>
      </c>
      <c r="G42" t="s">
        <v>6</v>
      </c>
      <c r="H42">
        <f t="shared" si="9"/>
        <v>17</v>
      </c>
      <c r="I42" s="1">
        <f t="shared" si="11"/>
        <v>1696.7444999999998</v>
      </c>
      <c r="K42">
        <v>2194</v>
      </c>
    </row>
    <row r="43" spans="1:11" x14ac:dyDescent="0.25">
      <c r="A43" t="s">
        <v>7</v>
      </c>
      <c r="B43">
        <f t="shared" si="8"/>
        <v>34</v>
      </c>
      <c r="C43" s="1">
        <f t="shared" si="10"/>
        <v>3393.4889999999996</v>
      </c>
      <c r="E43">
        <v>4057</v>
      </c>
      <c r="G43" t="s">
        <v>7</v>
      </c>
      <c r="H43">
        <f t="shared" si="9"/>
        <v>17</v>
      </c>
      <c r="I43" s="1">
        <f t="shared" si="11"/>
        <v>1696.7444999999998</v>
      </c>
      <c r="K43">
        <v>2211</v>
      </c>
    </row>
    <row r="44" spans="1:11" x14ac:dyDescent="0.25">
      <c r="A44" t="s">
        <v>8</v>
      </c>
      <c r="B44">
        <f t="shared" si="8"/>
        <v>95</v>
      </c>
      <c r="C44" s="1">
        <f t="shared" si="10"/>
        <v>9481.807499999999</v>
      </c>
      <c r="E44">
        <v>4152</v>
      </c>
      <c r="G44" t="s">
        <v>8</v>
      </c>
      <c r="H44">
        <f t="shared" si="9"/>
        <v>66</v>
      </c>
      <c r="I44" s="1">
        <f t="shared" si="11"/>
        <v>6587.360999999999</v>
      </c>
      <c r="K44">
        <v>2277</v>
      </c>
    </row>
    <row r="45" spans="1:11" x14ac:dyDescent="0.25">
      <c r="A45" t="s">
        <v>9</v>
      </c>
      <c r="B45">
        <f t="shared" si="8"/>
        <v>77</v>
      </c>
      <c r="C45" s="1">
        <f t="shared" si="10"/>
        <v>7685.2544999999982</v>
      </c>
      <c r="E45">
        <v>4229</v>
      </c>
      <c r="G45" t="s">
        <v>9</v>
      </c>
      <c r="H45">
        <f t="shared" si="9"/>
        <v>29</v>
      </c>
      <c r="I45" s="1">
        <f t="shared" si="11"/>
        <v>2894.4464999999996</v>
      </c>
      <c r="K45">
        <v>2306</v>
      </c>
    </row>
    <row r="46" spans="1:11" x14ac:dyDescent="0.25">
      <c r="A46" t="s">
        <v>10</v>
      </c>
      <c r="B46">
        <f t="shared" si="8"/>
        <v>49</v>
      </c>
      <c r="C46" s="1">
        <f t="shared" si="10"/>
        <v>4890.6165000000001</v>
      </c>
      <c r="E46">
        <v>4278</v>
      </c>
      <c r="G46" t="s">
        <v>10</v>
      </c>
      <c r="H46">
        <f t="shared" si="9"/>
        <v>15</v>
      </c>
      <c r="I46" s="1">
        <f t="shared" si="11"/>
        <v>1497.1274999999998</v>
      </c>
      <c r="K46">
        <v>2321</v>
      </c>
    </row>
    <row r="47" spans="1:11" x14ac:dyDescent="0.25">
      <c r="A47" t="s">
        <v>11</v>
      </c>
      <c r="B47">
        <f t="shared" si="8"/>
        <v>98</v>
      </c>
      <c r="C47" s="1">
        <f t="shared" si="10"/>
        <v>9781.2330000000002</v>
      </c>
      <c r="E47">
        <v>4376</v>
      </c>
      <c r="G47" t="s">
        <v>11</v>
      </c>
      <c r="H47">
        <f t="shared" si="9"/>
        <v>39</v>
      </c>
      <c r="I47" s="1">
        <f t="shared" si="11"/>
        <v>3892.5314999999991</v>
      </c>
      <c r="K47">
        <v>2360</v>
      </c>
    </row>
    <row r="48" spans="1:11" x14ac:dyDescent="0.25">
      <c r="B48">
        <f>SUM(B36:B47)</f>
        <v>839</v>
      </c>
      <c r="C48" s="1">
        <f>SUM(C36:C47)</f>
        <v>83739.3315</v>
      </c>
      <c r="H48">
        <f>SUM(H36:H47)</f>
        <v>447</v>
      </c>
      <c r="I48" s="1">
        <f>SUM(I36:I47)</f>
        <v>44614.399499999992</v>
      </c>
    </row>
    <row r="50" spans="1:3" x14ac:dyDescent="0.25">
      <c r="B50" t="s">
        <v>15</v>
      </c>
      <c r="C50" t="s">
        <v>14</v>
      </c>
    </row>
    <row r="51" spans="1:3" x14ac:dyDescent="0.25">
      <c r="A51">
        <v>2018</v>
      </c>
      <c r="B51">
        <f>B16+H16</f>
        <v>1941</v>
      </c>
      <c r="C51" s="1">
        <f>C16+I16</f>
        <v>177232.70999999996</v>
      </c>
    </row>
    <row r="52" spans="1:3" x14ac:dyDescent="0.25">
      <c r="A52">
        <v>2019</v>
      </c>
      <c r="B52">
        <f>B32+H32</f>
        <v>1873</v>
      </c>
      <c r="C52" s="1">
        <f>C32+I32</f>
        <v>178799.38949999996</v>
      </c>
    </row>
    <row r="53" spans="1:3" x14ac:dyDescent="0.25">
      <c r="A53">
        <v>2020</v>
      </c>
      <c r="B53">
        <f>B48+H48</f>
        <v>1286</v>
      </c>
      <c r="C53" s="1">
        <f>C48+I48</f>
        <v>128353.731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EE</vt:lpstr>
      <vt:lpstr>ZP maloodběr</vt:lpstr>
      <vt:lpstr>ZP střední odběr</vt:lpstr>
      <vt:lpstr>VODA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2023-05-02T08:42:18Z</dcterms:modified>
</cp:coreProperties>
</file>